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26"/>
  <workbookPr defaultThemeVersion="166925"/>
  <xr:revisionPtr revIDLastSave="0" documentId="8_{32A62EC7-C526-42D7-A024-2B2896CE6219}" xr6:coauthVersionLast="47" xr6:coauthVersionMax="47" xr10:uidLastSave="{00000000-0000-0000-0000-000000000000}"/>
  <bookViews>
    <workbookView xWindow="240" yWindow="105" windowWidth="14805" windowHeight="8010" firstSheet="10" xr2:uid="{00000000-000D-0000-FFFF-FFFF00000000}"/>
  </bookViews>
  <sheets>
    <sheet name="Cover" sheetId="2" r:id="rId1"/>
    <sheet name="Assumptions" sheetId="3" r:id="rId2"/>
    <sheet name="Historical" sheetId="4" r:id="rId3"/>
    <sheet name="Projections" sheetId="5" r:id="rId4"/>
    <sheet name="Beta Data" sheetId="6" r:id="rId5"/>
    <sheet name="WACC" sheetId="7" r:id="rId6"/>
    <sheet name="DCF" sheetId="8" r:id="rId7"/>
    <sheet name="Sensitivity" sheetId="9" r:id="rId8"/>
    <sheet name="Sum-of-Parts" sheetId="10" r:id="rId9"/>
    <sheet name="Peer Data" sheetId="11" r:id="rId10"/>
    <sheet name="Checks" sheetId="12" r:id="rId11"/>
    <sheet name="QIS Audit" sheetId="13" r:id="rId12"/>
  </sheets>
  <definedNames>
    <definedName name="_xlnm.Print_Area" localSheetId="2">Historical!$A$1:$K$219</definedName>
    <definedName name="_xlnm.Print_Area" localSheetId="3">Projections!$A$1:$M$150</definedName>
    <definedName name="_xlnm.Print_Area" localSheetId="4">'Beta Data'!$A$1:$I$66</definedName>
    <definedName name="_xlnm.Print_Area" localSheetId="5">WACC!$A$1:$C$47</definedName>
    <definedName name="_xlnm.Print_Area" localSheetId="6">DCF!$A$1:$M$52</definedName>
    <definedName name="_xlnm.Print_Area" localSheetId="7">Sensitivity!$A$1:$G$23</definedName>
    <definedName name="_xlnm.Print_Area" localSheetId="8">'Sum-of-Parts'!$A$1:$K$71</definedName>
    <definedName name="_xlnm.Print_Area" localSheetId="10">Checks!$A$1:$M$55</definedName>
    <definedName name="_xlnm.Print_Area" localSheetId="9">'Peer Data'!$A$1:$S$38</definedName>
    <definedName name="_xlnm.Print_Area" localSheetId="11">'QIS Audit'!$A$1:$F$103</definedName>
    <definedName name="_xlnm.Print_Area" localSheetId="1">Assumptions!$A$1:$M$95</definedName>
    <definedName name="_xlnm.Print_Area" localSheetId="0">Cover!$A$1:$F$74</definedName>
    <definedName name="_xlnm.Print_Titles" localSheetId="1">Assumptions!$1:$4</definedName>
    <definedName name="_xlnm.Print_Titles" localSheetId="2">Historical!$1:$4</definedName>
    <definedName name="_xlnm.Print_Titles" localSheetId="3">Projections!$1:$4</definedName>
    <definedName name="_xlnm.Print_Titles" localSheetId="4">'Beta Data'!$1:$5</definedName>
    <definedName name="_xlnm.Print_Titles" localSheetId="5">WACC!$1:$2</definedName>
    <definedName name="_xlnm.Print_Titles" localSheetId="6">DCF!$1:$4</definedName>
    <definedName name="_xlnm.Print_Titles" localSheetId="11">'QIS Audit'!$1:$2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9" i="13" l="1"/>
  <c r="C99" i="13"/>
  <c r="C80" i="13"/>
  <c r="D80" i="13"/>
  <c r="E80" i="13"/>
  <c r="B93" i="13"/>
  <c r="C93" i="13"/>
  <c r="E88" i="13"/>
  <c r="E87" i="13"/>
  <c r="E86" i="13"/>
  <c r="E85" i="13"/>
  <c r="E84" i="13"/>
  <c r="E83" i="13"/>
  <c r="B100" i="13" s="1"/>
  <c r="C100" i="13" s="1"/>
  <c r="D74" i="13"/>
  <c r="D75" i="13"/>
  <c r="D76" i="13"/>
  <c r="C66" i="13"/>
  <c r="D66" i="13"/>
  <c r="E66" i="13"/>
  <c r="C67" i="13"/>
  <c r="D67" i="13"/>
  <c r="E67" i="13"/>
  <c r="C68" i="13"/>
  <c r="D68" i="13"/>
  <c r="E68" i="13"/>
  <c r="C69" i="13"/>
  <c r="D69" i="13"/>
  <c r="E69" i="13"/>
  <c r="C70" i="13"/>
  <c r="D70" i="13"/>
  <c r="E70" i="13"/>
  <c r="C62" i="13" a="1"/>
  <c r="C62" i="13"/>
  <c r="D62" i="13" a="1"/>
  <c r="D62" i="13"/>
  <c r="E62" i="13"/>
  <c r="B97" i="13" s="1"/>
  <c r="C97" i="13" s="1"/>
  <c r="D48" i="13"/>
  <c r="E48" i="13"/>
  <c r="F48" i="13"/>
  <c r="D49" i="13"/>
  <c r="E49" i="13"/>
  <c r="F49" i="13"/>
  <c r="D50" i="13"/>
  <c r="E50" i="13"/>
  <c r="F50" i="13"/>
  <c r="D51" i="13"/>
  <c r="E51" i="13"/>
  <c r="F51" i="13"/>
  <c r="D52" i="13"/>
  <c r="E52" i="13"/>
  <c r="F52" i="13"/>
  <c r="D53" i="13"/>
  <c r="E53" i="13"/>
  <c r="F53" i="13"/>
  <c r="D54" i="13"/>
  <c r="E54" i="13"/>
  <c r="F54" i="13"/>
  <c r="D55" i="13"/>
  <c r="E55" i="13"/>
  <c r="F55" i="13"/>
  <c r="D56" i="13"/>
  <c r="E56" i="13"/>
  <c r="F56" i="13"/>
  <c r="D57" i="13"/>
  <c r="E57" i="13"/>
  <c r="F57" i="13"/>
  <c r="C34" i="13" a="1"/>
  <c r="C34" i="13"/>
  <c r="E34" i="13"/>
  <c r="C35" i="13" a="1"/>
  <c r="C35" i="13"/>
  <c r="E35" i="13"/>
  <c r="C36" i="13" a="1"/>
  <c r="C36" i="13"/>
  <c r="E36" i="13"/>
  <c r="C37" i="13" a="1"/>
  <c r="C37" i="13"/>
  <c r="E37" i="13"/>
  <c r="C38" i="13" a="1"/>
  <c r="C38" i="13"/>
  <c r="E38" i="13"/>
  <c r="C39" i="13" a="1"/>
  <c r="C39" i="13"/>
  <c r="E39" i="13"/>
  <c r="C40" i="13" a="1"/>
  <c r="C40" i="13"/>
  <c r="E40" i="13"/>
  <c r="C41" i="13" a="1"/>
  <c r="C41" i="13"/>
  <c r="E41" i="13"/>
  <c r="C42" i="13" a="1"/>
  <c r="C42" i="13"/>
  <c r="E42" i="13"/>
  <c r="C13" i="13"/>
  <c r="D13" i="13"/>
  <c r="E13" i="13"/>
  <c r="C14" i="13"/>
  <c r="D14" i="13"/>
  <c r="E14" i="13"/>
  <c r="C15" i="13"/>
  <c r="D15" i="13"/>
  <c r="E15" i="13"/>
  <c r="C16" i="13"/>
  <c r="D16" i="13"/>
  <c r="E16" i="13"/>
  <c r="C17" i="13"/>
  <c r="D17" i="13"/>
  <c r="E17" i="13"/>
  <c r="C18" i="13"/>
  <c r="D18" i="13"/>
  <c r="E18" i="13"/>
  <c r="C19" i="13"/>
  <c r="D19" i="13"/>
  <c r="E19" i="13"/>
  <c r="C20" i="13"/>
  <c r="D20" i="13"/>
  <c r="E20" i="13"/>
  <c r="C21" i="13"/>
  <c r="D21" i="13"/>
  <c r="E21" i="13"/>
  <c r="C22" i="13"/>
  <c r="D22" i="13"/>
  <c r="E22" i="13"/>
  <c r="C23" i="13"/>
  <c r="D23" i="13"/>
  <c r="E23" i="13"/>
  <c r="C24" i="13"/>
  <c r="D24" i="13"/>
  <c r="E24" i="13"/>
  <c r="C25" i="13"/>
  <c r="D25" i="13"/>
  <c r="E25" i="13"/>
  <c r="C26" i="13"/>
  <c r="D26" i="13"/>
  <c r="E26" i="13"/>
  <c r="C27" i="13"/>
  <c r="D27" i="13"/>
  <c r="E27" i="13"/>
  <c r="C28" i="13"/>
  <c r="D28" i="13"/>
  <c r="E28" i="13"/>
  <c r="C9" i="13" a="1"/>
  <c r="C9" i="13"/>
  <c r="F9" i="13"/>
  <c r="C8" i="13" a="1"/>
  <c r="C8" i="13"/>
  <c r="F8" i="13"/>
  <c r="C7" i="13" a="1"/>
  <c r="C7" i="13"/>
  <c r="F7" i="13"/>
  <c r="C6" i="13" a="1"/>
  <c r="C6" i="13"/>
  <c r="F6" i="13"/>
  <c r="B87" i="5"/>
  <c r="B84" i="5"/>
  <c r="A59" i="2"/>
  <c r="A54" i="2"/>
  <c r="A19" i="2"/>
  <c r="B26" i="10"/>
  <c r="C26" i="10"/>
  <c r="D26" i="10"/>
  <c r="E26" i="10"/>
  <c r="F26" i="10"/>
  <c r="G26" i="10"/>
  <c r="H26" i="10"/>
  <c r="I26" i="10"/>
  <c r="J26" i="10"/>
  <c r="K26" i="10"/>
  <c r="M17" i="11"/>
  <c r="N17" i="11"/>
  <c r="O17" i="11"/>
  <c r="P17" i="11"/>
  <c r="M15" i="11"/>
  <c r="N15" i="11"/>
  <c r="O15" i="11"/>
  <c r="P15" i="11"/>
  <c r="M14" i="11"/>
  <c r="N14" i="11"/>
  <c r="O14" i="11"/>
  <c r="P14" i="11"/>
  <c r="M13" i="11"/>
  <c r="N13" i="11"/>
  <c r="O13" i="11"/>
  <c r="P13" i="11"/>
  <c r="M12" i="11"/>
  <c r="N12" i="11"/>
  <c r="O12" i="11"/>
  <c r="P12" i="11"/>
  <c r="M10" i="11"/>
  <c r="N10" i="11"/>
  <c r="O10" i="11"/>
  <c r="P10" i="11"/>
  <c r="M9" i="11"/>
  <c r="N9" i="11"/>
  <c r="O9" i="11"/>
  <c r="P9" i="11"/>
  <c r="M8" i="11"/>
  <c r="N8" i="11"/>
  <c r="O8" i="11"/>
  <c r="P8" i="11"/>
  <c r="M7" i="11"/>
  <c r="N7" i="11"/>
  <c r="O7" i="11"/>
  <c r="P7" i="11"/>
  <c r="M6" i="11"/>
  <c r="N6" i="11"/>
  <c r="O6" i="11"/>
  <c r="P6" i="11"/>
  <c r="K38" i="11"/>
  <c r="K36" i="11"/>
  <c r="K35" i="11"/>
  <c r="K34" i="11"/>
  <c r="K33" i="11"/>
  <c r="K32" i="11"/>
  <c r="K31" i="11"/>
  <c r="K30" i="11"/>
  <c r="K29" i="11"/>
  <c r="K28" i="11"/>
  <c r="Q17" i="11"/>
  <c r="R17" i="11"/>
  <c r="C42" i="8"/>
  <c r="A55" i="2"/>
  <c r="A58" i="2"/>
  <c r="I14" i="2"/>
  <c r="J14" i="2"/>
  <c r="I15" i="2"/>
  <c r="J15" i="2"/>
  <c r="I16" i="2"/>
  <c r="J16" i="2"/>
  <c r="I17" i="2"/>
  <c r="J17" i="2"/>
  <c r="I18" i="2"/>
  <c r="J18" i="2"/>
  <c r="I19" i="2"/>
  <c r="J19" i="2"/>
  <c r="I20" i="2"/>
  <c r="J20" i="2"/>
  <c r="I21" i="2"/>
  <c r="J21" i="2"/>
  <c r="I22" i="2"/>
  <c r="J22" i="2"/>
  <c r="I23" i="2"/>
  <c r="J23" i="2"/>
  <c r="I24" i="2"/>
  <c r="J24" i="2"/>
  <c r="I25" i="2"/>
  <c r="J25" i="2"/>
  <c r="I26" i="2"/>
  <c r="J26" i="2"/>
  <c r="I27" i="2"/>
  <c r="J27" i="2"/>
  <c r="I28" i="2"/>
  <c r="J28" i="2"/>
  <c r="H7" i="2"/>
  <c r="H9" i="2"/>
  <c r="I9" i="2"/>
  <c r="K9" i="2"/>
  <c r="J9" i="2" s="1"/>
  <c r="J10" i="2"/>
  <c r="A15" i="2"/>
  <c r="C17" i="2"/>
  <c r="B7" i="2"/>
  <c r="B9" i="2"/>
  <c r="E9" i="2"/>
  <c r="E10" i="2"/>
  <c r="B51" i="12"/>
  <c r="B55" i="12" s="1"/>
  <c r="M51" i="12"/>
  <c r="E33" i="12"/>
  <c r="F33" i="12"/>
  <c r="G33" i="12"/>
  <c r="E34" i="12"/>
  <c r="F34" i="12"/>
  <c r="G34" i="12"/>
  <c r="E35" i="12"/>
  <c r="F35" i="12"/>
  <c r="G35" i="12"/>
  <c r="E36" i="12"/>
  <c r="F36" i="12"/>
  <c r="G36" i="12"/>
  <c r="E37" i="12"/>
  <c r="F37" i="12"/>
  <c r="G37" i="12"/>
  <c r="E38" i="12"/>
  <c r="F38" i="12"/>
  <c r="G38" i="12"/>
  <c r="E39" i="12"/>
  <c r="F39" i="12"/>
  <c r="G39" i="12"/>
  <c r="E40" i="12"/>
  <c r="F40" i="12"/>
  <c r="G40" i="12"/>
  <c r="E41" i="12"/>
  <c r="F41" i="12"/>
  <c r="G41" i="12"/>
  <c r="E42" i="12"/>
  <c r="F42" i="12"/>
  <c r="G42" i="12"/>
  <c r="B29" i="12"/>
  <c r="M29" i="12"/>
  <c r="B26" i="12"/>
  <c r="M26" i="12"/>
  <c r="B25" i="12"/>
  <c r="M25" i="12"/>
  <c r="B13" i="12" a="1"/>
  <c r="B13" i="12"/>
  <c r="B14" i="12" a="1"/>
  <c r="B14" i="12"/>
  <c r="B16" i="12" a="1"/>
  <c r="B16" i="12"/>
  <c r="B17" i="12" a="1"/>
  <c r="B17" i="12"/>
  <c r="B21" i="12" a="1"/>
  <c r="B21" i="12"/>
  <c r="M8" i="12" a="1"/>
  <c r="M8" i="12"/>
  <c r="B7" i="12"/>
  <c r="B52" i="10"/>
  <c r="B53" i="10"/>
  <c r="B54" i="10"/>
  <c r="B55" i="10"/>
  <c r="B56" i="10"/>
  <c r="B57" i="10"/>
  <c r="B58" i="10"/>
  <c r="B59" i="10"/>
  <c r="B60" i="10"/>
  <c r="B62" i="10"/>
  <c r="C31" i="10"/>
  <c r="D31" i="10"/>
  <c r="E31" i="10"/>
  <c r="C32" i="10"/>
  <c r="D32" i="10"/>
  <c r="E32" i="10"/>
  <c r="B33" i="10"/>
  <c r="C33" i="10"/>
  <c r="D33" i="10"/>
  <c r="E33" i="10"/>
  <c r="C34" i="10"/>
  <c r="D34" i="10"/>
  <c r="E34" i="10"/>
  <c r="C35" i="10"/>
  <c r="D35" i="10"/>
  <c r="E35" i="10"/>
  <c r="C36" i="10"/>
  <c r="D36" i="10"/>
  <c r="E36" i="10"/>
  <c r="B37" i="10"/>
  <c r="C37" i="10"/>
  <c r="D37" i="10"/>
  <c r="E37" i="10"/>
  <c r="C38" i="10"/>
  <c r="D38" i="10"/>
  <c r="E38" i="10"/>
  <c r="C39" i="10"/>
  <c r="D39" i="10"/>
  <c r="E39" i="10"/>
  <c r="C40" i="10"/>
  <c r="D40" i="10"/>
  <c r="E40" i="10"/>
  <c r="B41" i="10"/>
  <c r="C41" i="10"/>
  <c r="D41" i="10"/>
  <c r="E41" i="10"/>
  <c r="C42" i="10"/>
  <c r="D42" i="10"/>
  <c r="E42" i="10"/>
  <c r="C43" i="10"/>
  <c r="D43" i="10"/>
  <c r="E43" i="10"/>
  <c r="B44" i="10"/>
  <c r="C44" i="10"/>
  <c r="D44" i="10"/>
  <c r="E44" i="10"/>
  <c r="C45" i="10"/>
  <c r="D45" i="10"/>
  <c r="E45" i="10"/>
  <c r="C46" i="10"/>
  <c r="D46" i="10"/>
  <c r="E46" i="10"/>
  <c r="C47" i="10"/>
  <c r="D47" i="10"/>
  <c r="E47" i="10"/>
  <c r="C48" i="10"/>
  <c r="D48" i="10"/>
  <c r="E48" i="10"/>
  <c r="C30" i="10"/>
  <c r="D30" i="10"/>
  <c r="A26" i="10"/>
  <c r="D22" i="10"/>
  <c r="E22" i="10"/>
  <c r="J22" i="10"/>
  <c r="K22" i="10"/>
  <c r="D23" i="10"/>
  <c r="E23" i="10"/>
  <c r="J23" i="10"/>
  <c r="K23" i="10"/>
  <c r="D24" i="10"/>
  <c r="E24" i="10"/>
  <c r="J24" i="10"/>
  <c r="K24" i="10"/>
  <c r="D25" i="10"/>
  <c r="E25" i="10"/>
  <c r="J25" i="10"/>
  <c r="K25" i="10"/>
  <c r="A18" i="10"/>
  <c r="B18" i="10"/>
  <c r="C18" i="10"/>
  <c r="D18" i="10"/>
  <c r="E18" i="10"/>
  <c r="F18" i="10"/>
  <c r="G18" i="10"/>
  <c r="H18" i="10"/>
  <c r="I18" i="10"/>
  <c r="J18" i="10"/>
  <c r="K18" i="10"/>
  <c r="A19" i="10"/>
  <c r="B19" i="10"/>
  <c r="C19" i="10"/>
  <c r="D19" i="10"/>
  <c r="E19" i="10"/>
  <c r="F19" i="10"/>
  <c r="G19" i="10"/>
  <c r="H19" i="10"/>
  <c r="I19" i="10"/>
  <c r="J19" i="10"/>
  <c r="K19" i="10"/>
  <c r="A20" i="10"/>
  <c r="B20" i="10"/>
  <c r="C20" i="10"/>
  <c r="D20" i="10"/>
  <c r="E20" i="10"/>
  <c r="F20" i="10"/>
  <c r="G20" i="10"/>
  <c r="H20" i="10"/>
  <c r="I20" i="10"/>
  <c r="J20" i="10"/>
  <c r="K20" i="10"/>
  <c r="A21" i="10"/>
  <c r="B21" i="10"/>
  <c r="C21" i="10"/>
  <c r="D21" i="10"/>
  <c r="E21" i="10"/>
  <c r="F21" i="10"/>
  <c r="G21" i="10"/>
  <c r="H21" i="10"/>
  <c r="I21" i="10"/>
  <c r="J21" i="10"/>
  <c r="K21" i="10"/>
  <c r="D12" i="10"/>
  <c r="E12" i="10"/>
  <c r="J12" i="10"/>
  <c r="K12" i="10"/>
  <c r="D13" i="10"/>
  <c r="E13" i="10"/>
  <c r="J13" i="10"/>
  <c r="K13" i="10"/>
  <c r="D14" i="10"/>
  <c r="E14" i="10"/>
  <c r="J14" i="10"/>
  <c r="K14" i="10"/>
  <c r="D15" i="10"/>
  <c r="E15" i="10"/>
  <c r="J15" i="10"/>
  <c r="K15" i="10"/>
  <c r="A7" i="10"/>
  <c r="B7" i="10"/>
  <c r="C7" i="10"/>
  <c r="D7" i="10"/>
  <c r="E7" i="10"/>
  <c r="F7" i="10"/>
  <c r="G7" i="10"/>
  <c r="H7" i="10"/>
  <c r="I7" i="10"/>
  <c r="J7" i="10"/>
  <c r="K7" i="10"/>
  <c r="A8" i="10"/>
  <c r="B8" i="10"/>
  <c r="C8" i="10"/>
  <c r="D8" i="10"/>
  <c r="E8" i="10"/>
  <c r="F8" i="10"/>
  <c r="G8" i="10"/>
  <c r="H8" i="10"/>
  <c r="I8" i="10"/>
  <c r="J8" i="10"/>
  <c r="K8" i="10"/>
  <c r="A9" i="10"/>
  <c r="B9" i="10"/>
  <c r="C9" i="10"/>
  <c r="D9" i="10"/>
  <c r="E9" i="10"/>
  <c r="F9" i="10"/>
  <c r="G9" i="10"/>
  <c r="H9" i="10"/>
  <c r="I9" i="10"/>
  <c r="J9" i="10"/>
  <c r="K9" i="10"/>
  <c r="A10" i="10"/>
  <c r="B10" i="10"/>
  <c r="C10" i="10"/>
  <c r="D10" i="10"/>
  <c r="E10" i="10"/>
  <c r="F10" i="10"/>
  <c r="G10" i="10"/>
  <c r="H10" i="10"/>
  <c r="I10" i="10"/>
  <c r="J10" i="10"/>
  <c r="K10" i="10"/>
  <c r="A11" i="10"/>
  <c r="B11" i="10"/>
  <c r="C11" i="10"/>
  <c r="D11" i="10"/>
  <c r="E11" i="10"/>
  <c r="F11" i="10"/>
  <c r="G11" i="10"/>
  <c r="H11" i="10"/>
  <c r="I11" i="10"/>
  <c r="J11" i="10"/>
  <c r="K11" i="10"/>
  <c r="E17" i="11"/>
  <c r="F17" i="11"/>
  <c r="G17" i="11"/>
  <c r="H17" i="11"/>
  <c r="I17" i="11"/>
  <c r="J17" i="11"/>
  <c r="F15" i="11"/>
  <c r="J15" i="11"/>
  <c r="F14" i="11"/>
  <c r="J14" i="11"/>
  <c r="F13" i="11"/>
  <c r="J13" i="11"/>
  <c r="F12" i="11"/>
  <c r="J12" i="11"/>
  <c r="F10" i="11"/>
  <c r="J10" i="11"/>
  <c r="F9" i="11"/>
  <c r="J9" i="11"/>
  <c r="F8" i="11"/>
  <c r="J8" i="11"/>
  <c r="F7" i="11"/>
  <c r="J7" i="11"/>
  <c r="F6" i="11"/>
  <c r="J6" i="11"/>
  <c r="C431" i="9"/>
  <c r="D431" i="9"/>
  <c r="E431" i="9"/>
  <c r="F431" i="9"/>
  <c r="G431" i="9"/>
  <c r="C415" i="9"/>
  <c r="D415" i="9"/>
  <c r="E415" i="9"/>
  <c r="F415" i="9"/>
  <c r="G415" i="9"/>
  <c r="C399" i="9"/>
  <c r="D399" i="9"/>
  <c r="E399" i="9"/>
  <c r="F399" i="9"/>
  <c r="G399" i="9"/>
  <c r="C383" i="9"/>
  <c r="D383" i="9"/>
  <c r="E383" i="9"/>
  <c r="F383" i="9"/>
  <c r="G383" i="9"/>
  <c r="C367" i="9"/>
  <c r="D367" i="9"/>
  <c r="E367" i="9"/>
  <c r="F367" i="9"/>
  <c r="G367" i="9"/>
  <c r="C351" i="9"/>
  <c r="D351" i="9"/>
  <c r="E351" i="9"/>
  <c r="F351" i="9"/>
  <c r="G351" i="9"/>
  <c r="C335" i="9"/>
  <c r="D335" i="9"/>
  <c r="E335" i="9"/>
  <c r="F335" i="9"/>
  <c r="G335" i="9"/>
  <c r="C319" i="9"/>
  <c r="D319" i="9"/>
  <c r="E319" i="9"/>
  <c r="F319" i="9"/>
  <c r="G319" i="9"/>
  <c r="C303" i="9"/>
  <c r="D303" i="9"/>
  <c r="E303" i="9"/>
  <c r="F303" i="9"/>
  <c r="G303" i="9"/>
  <c r="C287" i="9"/>
  <c r="D287" i="9"/>
  <c r="E287" i="9"/>
  <c r="F287" i="9"/>
  <c r="G287" i="9"/>
  <c r="C271" i="9"/>
  <c r="D271" i="9"/>
  <c r="E271" i="9"/>
  <c r="F271" i="9"/>
  <c r="G271" i="9"/>
  <c r="C255" i="9"/>
  <c r="D255" i="9"/>
  <c r="E255" i="9"/>
  <c r="F255" i="9"/>
  <c r="G255" i="9"/>
  <c r="C239" i="9"/>
  <c r="D239" i="9"/>
  <c r="E239" i="9"/>
  <c r="F239" i="9"/>
  <c r="G239" i="9"/>
  <c r="C223" i="9"/>
  <c r="D223" i="9"/>
  <c r="E223" i="9"/>
  <c r="F223" i="9"/>
  <c r="G223" i="9"/>
  <c r="C207" i="9"/>
  <c r="D207" i="9"/>
  <c r="E207" i="9"/>
  <c r="F207" i="9"/>
  <c r="G207" i="9"/>
  <c r="C191" i="9"/>
  <c r="D191" i="9"/>
  <c r="E191" i="9"/>
  <c r="F191" i="9"/>
  <c r="G191" i="9"/>
  <c r="C175" i="9"/>
  <c r="D175" i="9"/>
  <c r="E175" i="9"/>
  <c r="F175" i="9"/>
  <c r="G175" i="9"/>
  <c r="C159" i="9"/>
  <c r="D159" i="9"/>
  <c r="E159" i="9"/>
  <c r="F159" i="9"/>
  <c r="G159" i="9"/>
  <c r="C143" i="9"/>
  <c r="D143" i="9"/>
  <c r="E143" i="9"/>
  <c r="F143" i="9"/>
  <c r="G143" i="9"/>
  <c r="C127" i="9"/>
  <c r="D127" i="9"/>
  <c r="E127" i="9"/>
  <c r="F127" i="9"/>
  <c r="G127" i="9"/>
  <c r="C111" i="9"/>
  <c r="D111" i="9"/>
  <c r="E111" i="9"/>
  <c r="F111" i="9"/>
  <c r="G111" i="9"/>
  <c r="C95" i="9"/>
  <c r="D95" i="9"/>
  <c r="E95" i="9"/>
  <c r="F95" i="9"/>
  <c r="G95" i="9"/>
  <c r="C79" i="9"/>
  <c r="D79" i="9"/>
  <c r="E79" i="9"/>
  <c r="F79" i="9"/>
  <c r="G79" i="9"/>
  <c r="C63" i="9"/>
  <c r="D63" i="9"/>
  <c r="E63" i="9"/>
  <c r="F63" i="9"/>
  <c r="G63" i="9"/>
  <c r="C47" i="9"/>
  <c r="D47" i="9"/>
  <c r="E47" i="9"/>
  <c r="F47" i="9"/>
  <c r="G47" i="9"/>
  <c r="C33" i="9"/>
  <c r="D33" i="9"/>
  <c r="E33" i="9"/>
  <c r="F33" i="9"/>
  <c r="G33" i="9"/>
  <c r="H33" i="9"/>
  <c r="I33" i="9"/>
  <c r="J33" i="9"/>
  <c r="K33" i="9"/>
  <c r="L33" i="9"/>
  <c r="C32" i="9"/>
  <c r="D32" i="9"/>
  <c r="E32" i="9"/>
  <c r="F32" i="9"/>
  <c r="G32" i="9"/>
  <c r="H32" i="9"/>
  <c r="I32" i="9"/>
  <c r="J32" i="9"/>
  <c r="K32" i="9"/>
  <c r="L32" i="9"/>
  <c r="B19" i="9"/>
  <c r="B20" i="9"/>
  <c r="B21" i="9"/>
  <c r="E16" i="9"/>
  <c r="F16" i="9"/>
  <c r="G16" i="9"/>
  <c r="B9" i="9"/>
  <c r="B8" i="9" s="1"/>
  <c r="B7" i="9" s="1"/>
  <c r="B10" i="9"/>
  <c r="B11" i="9"/>
  <c r="E6" i="9"/>
  <c r="D6" i="9" s="1"/>
  <c r="C6" i="9" s="1"/>
  <c r="F6" i="9"/>
  <c r="G6" i="9"/>
  <c r="C17" i="8"/>
  <c r="D17" i="8"/>
  <c r="E17" i="8"/>
  <c r="F17" i="8"/>
  <c r="G17" i="8"/>
  <c r="H17" i="8"/>
  <c r="I17" i="8"/>
  <c r="J17" i="8"/>
  <c r="K17" i="8"/>
  <c r="L17" i="8"/>
  <c r="C8" i="8"/>
  <c r="D8" i="8"/>
  <c r="E8" i="8"/>
  <c r="F8" i="8"/>
  <c r="G8" i="8"/>
  <c r="H8" i="8"/>
  <c r="I8" i="8"/>
  <c r="J8" i="8"/>
  <c r="K8" i="8"/>
  <c r="L8" i="8"/>
  <c r="C14" i="8"/>
  <c r="D14" i="8"/>
  <c r="E14" i="8"/>
  <c r="F14" i="8"/>
  <c r="G14" i="8"/>
  <c r="H14" i="8"/>
  <c r="I14" i="8"/>
  <c r="J14" i="8"/>
  <c r="K14" i="8"/>
  <c r="L14" i="8"/>
  <c r="C16" i="8"/>
  <c r="D16" i="8"/>
  <c r="E16" i="8"/>
  <c r="F16" i="8"/>
  <c r="G16" i="8"/>
  <c r="H16" i="8"/>
  <c r="I16" i="8"/>
  <c r="J16" i="8"/>
  <c r="K16" i="8"/>
  <c r="L16" i="8"/>
  <c r="C21" i="8"/>
  <c r="C22" i="8"/>
  <c r="C23" i="8"/>
  <c r="C24" i="8"/>
  <c r="C39" i="8"/>
  <c r="C40" i="8"/>
  <c r="C41" i="8"/>
  <c r="C43" i="8"/>
  <c r="C44" i="8"/>
  <c r="C46" i="8"/>
  <c r="C48" i="8"/>
  <c r="C8" i="3"/>
  <c r="B47" i="3"/>
  <c r="C49" i="5"/>
  <c r="B72" i="5"/>
  <c r="B73" i="5"/>
  <c r="B74" i="5"/>
  <c r="B75" i="5"/>
  <c r="B76" i="5"/>
  <c r="B77" i="5"/>
  <c r="B78" i="5"/>
  <c r="B79" i="5"/>
  <c r="B80" i="5"/>
  <c r="B81" i="5"/>
  <c r="C81" i="5"/>
  <c r="D81" i="5"/>
  <c r="E81" i="5"/>
  <c r="F81" i="5"/>
  <c r="G81" i="5"/>
  <c r="H81" i="5"/>
  <c r="I81" i="5"/>
  <c r="J81" i="5"/>
  <c r="K81" i="5"/>
  <c r="L81" i="5"/>
  <c r="B82" i="5"/>
  <c r="B83" i="5"/>
  <c r="C84" i="5"/>
  <c r="D84" i="5"/>
  <c r="E84" i="5"/>
  <c r="F84" i="5"/>
  <c r="G84" i="5"/>
  <c r="H84" i="5"/>
  <c r="I84" i="5"/>
  <c r="J84" i="5"/>
  <c r="K84" i="5"/>
  <c r="L84" i="5"/>
  <c r="B85" i="5"/>
  <c r="B86" i="5"/>
  <c r="B88" i="5"/>
  <c r="B89" i="5"/>
  <c r="B90" i="5"/>
  <c r="B91" i="5"/>
  <c r="B92" i="5"/>
  <c r="C92" i="5"/>
  <c r="D92" i="5"/>
  <c r="E92" i="5"/>
  <c r="F92" i="5"/>
  <c r="G92" i="5"/>
  <c r="H92" i="5"/>
  <c r="I92" i="5"/>
  <c r="J92" i="5"/>
  <c r="K92" i="5"/>
  <c r="L92" i="5"/>
  <c r="B93" i="5"/>
  <c r="B94" i="5"/>
  <c r="B95" i="5"/>
  <c r="C95" i="5"/>
  <c r="D95" i="5"/>
  <c r="E95" i="5"/>
  <c r="F95" i="5"/>
  <c r="G95" i="5"/>
  <c r="H95" i="5"/>
  <c r="I95" i="5"/>
  <c r="J95" i="5"/>
  <c r="K95" i="5"/>
  <c r="L95" i="5"/>
  <c r="B96" i="5"/>
  <c r="B97" i="5"/>
  <c r="B98" i="5"/>
  <c r="B99" i="5"/>
  <c r="C99" i="5"/>
  <c r="D99" i="5"/>
  <c r="E99" i="5"/>
  <c r="F99" i="5"/>
  <c r="G99" i="5"/>
  <c r="H99" i="5"/>
  <c r="I99" i="5"/>
  <c r="J99" i="5"/>
  <c r="K99" i="5"/>
  <c r="L99" i="5"/>
  <c r="B100" i="5"/>
  <c r="B101" i="5"/>
  <c r="B102" i="5"/>
  <c r="B103" i="5"/>
  <c r="B104" i="5"/>
  <c r="B6" i="12" s="1"/>
  <c r="C110" i="5"/>
  <c r="D110" i="5"/>
  <c r="E110" i="5"/>
  <c r="F110" i="5"/>
  <c r="G110" i="5"/>
  <c r="H110" i="5"/>
  <c r="I110" i="5"/>
  <c r="J110" i="5"/>
  <c r="K110" i="5"/>
  <c r="L110" i="5"/>
  <c r="C126" i="5"/>
  <c r="C131" i="5"/>
  <c r="B8" i="5"/>
  <c r="C8" i="5"/>
  <c r="D8" i="5"/>
  <c r="E8" i="5"/>
  <c r="F8" i="5"/>
  <c r="G8" i="5"/>
  <c r="H8" i="5"/>
  <c r="I8" i="5"/>
  <c r="J8" i="5"/>
  <c r="K8" i="5"/>
  <c r="L8" i="5"/>
  <c r="B9" i="5"/>
  <c r="C9" i="5"/>
  <c r="D9" i="5"/>
  <c r="E9" i="5"/>
  <c r="F9" i="5"/>
  <c r="G9" i="5"/>
  <c r="B10" i="5"/>
  <c r="C10" i="5"/>
  <c r="D10" i="5"/>
  <c r="E10" i="5"/>
  <c r="F10" i="5"/>
  <c r="G10" i="5"/>
  <c r="H10" i="5"/>
  <c r="I10" i="5"/>
  <c r="J10" i="5"/>
  <c r="K10" i="5"/>
  <c r="L10" i="5"/>
  <c r="B11" i="5"/>
  <c r="C11" i="5"/>
  <c r="D11" i="5"/>
  <c r="E11" i="5"/>
  <c r="F11" i="5"/>
  <c r="G11" i="5"/>
  <c r="B13" i="5"/>
  <c r="C13" i="5"/>
  <c r="D13" i="5"/>
  <c r="E13" i="5"/>
  <c r="F13" i="5"/>
  <c r="G13" i="5"/>
  <c r="H13" i="5"/>
  <c r="I13" i="5"/>
  <c r="J13" i="5"/>
  <c r="K13" i="5"/>
  <c r="L13" i="5"/>
  <c r="B14" i="5"/>
  <c r="C14" i="5"/>
  <c r="D14" i="5"/>
  <c r="E14" i="5"/>
  <c r="F14" i="5"/>
  <c r="G14" i="5"/>
  <c r="B15" i="5"/>
  <c r="C15" i="5"/>
  <c r="D15" i="5"/>
  <c r="E15" i="5"/>
  <c r="F15" i="5"/>
  <c r="G15" i="5"/>
  <c r="H15" i="5"/>
  <c r="I15" i="5"/>
  <c r="J15" i="5"/>
  <c r="K15" i="5"/>
  <c r="L15" i="5"/>
  <c r="B16" i="5"/>
  <c r="C16" i="5"/>
  <c r="D16" i="5"/>
  <c r="E16" i="5"/>
  <c r="F16" i="5"/>
  <c r="G16" i="5"/>
  <c r="B17" i="5"/>
  <c r="C17" i="5"/>
  <c r="D17" i="5"/>
  <c r="E17" i="5"/>
  <c r="F17" i="5"/>
  <c r="G17" i="5"/>
  <c r="H17" i="5"/>
  <c r="I17" i="5"/>
  <c r="J17" i="5"/>
  <c r="K17" i="5"/>
  <c r="L17" i="5"/>
  <c r="B18" i="5"/>
  <c r="C18" i="5"/>
  <c r="D18" i="5"/>
  <c r="E18" i="5"/>
  <c r="F18" i="5"/>
  <c r="G18" i="5"/>
  <c r="B19" i="5"/>
  <c r="C19" i="5"/>
  <c r="D19" i="5"/>
  <c r="E19" i="5"/>
  <c r="F19" i="5"/>
  <c r="G19" i="5"/>
  <c r="B20" i="5"/>
  <c r="C20" i="5"/>
  <c r="D20" i="5"/>
  <c r="E20" i="5"/>
  <c r="F20" i="5"/>
  <c r="G20" i="5"/>
  <c r="C21" i="5"/>
  <c r="D21" i="5"/>
  <c r="E21" i="5"/>
  <c r="F21" i="5"/>
  <c r="G21" i="5"/>
  <c r="B22" i="5"/>
  <c r="C22" i="5"/>
  <c r="D22" i="5"/>
  <c r="E22" i="5"/>
  <c r="F22" i="5"/>
  <c r="G22" i="5"/>
  <c r="B25" i="5"/>
  <c r="C25" i="5"/>
  <c r="D25" i="5"/>
  <c r="E25" i="5"/>
  <c r="F25" i="5"/>
  <c r="G25" i="5"/>
  <c r="B26" i="5"/>
  <c r="C26" i="5"/>
  <c r="D26" i="5"/>
  <c r="E26" i="5"/>
  <c r="F26" i="5"/>
  <c r="G26" i="5"/>
  <c r="B27" i="5"/>
  <c r="C27" i="5"/>
  <c r="D27" i="5"/>
  <c r="E27" i="5"/>
  <c r="F27" i="5"/>
  <c r="G27" i="5"/>
  <c r="B28" i="5"/>
  <c r="C28" i="5"/>
  <c r="D28" i="5"/>
  <c r="E28" i="5"/>
  <c r="F28" i="5"/>
  <c r="G28" i="5"/>
  <c r="B29" i="5"/>
  <c r="C29" i="5"/>
  <c r="D29" i="5"/>
  <c r="E29" i="5"/>
  <c r="F29" i="5"/>
  <c r="G29" i="5"/>
  <c r="B30" i="5"/>
  <c r="C30" i="5"/>
  <c r="D30" i="5"/>
  <c r="E30" i="5"/>
  <c r="F30" i="5"/>
  <c r="G30" i="5"/>
  <c r="B31" i="5"/>
  <c r="C31" i="5"/>
  <c r="D31" i="5"/>
  <c r="E31" i="5"/>
  <c r="F31" i="5"/>
  <c r="G31" i="5"/>
  <c r="H31" i="5"/>
  <c r="I31" i="5"/>
  <c r="J31" i="5"/>
  <c r="K31" i="5"/>
  <c r="L31" i="5"/>
  <c r="B32" i="5"/>
  <c r="C32" i="5"/>
  <c r="D32" i="5"/>
  <c r="E32" i="5"/>
  <c r="F32" i="5"/>
  <c r="G32" i="5"/>
  <c r="H32" i="5"/>
  <c r="I32" i="5"/>
  <c r="J32" i="5"/>
  <c r="K32" i="5"/>
  <c r="L32" i="5"/>
  <c r="B33" i="5"/>
  <c r="C33" i="5"/>
  <c r="D33" i="5"/>
  <c r="E33" i="5"/>
  <c r="F33" i="5"/>
  <c r="G33" i="5"/>
  <c r="B34" i="5"/>
  <c r="C34" i="5"/>
  <c r="D34" i="5"/>
  <c r="E34" i="5"/>
  <c r="F34" i="5"/>
  <c r="G34" i="5"/>
  <c r="B35" i="5"/>
  <c r="C35" i="5"/>
  <c r="D35" i="5"/>
  <c r="E35" i="5"/>
  <c r="F35" i="5"/>
  <c r="G35" i="5"/>
  <c r="B36" i="5"/>
  <c r="C36" i="5"/>
  <c r="D36" i="5"/>
  <c r="E36" i="5"/>
  <c r="F36" i="5"/>
  <c r="G36" i="5"/>
  <c r="B37" i="5"/>
  <c r="C37" i="5"/>
  <c r="D37" i="5"/>
  <c r="E37" i="5"/>
  <c r="F37" i="5"/>
  <c r="G37" i="5"/>
  <c r="B40" i="5"/>
  <c r="C40" i="5"/>
  <c r="D40" i="5"/>
  <c r="E40" i="5"/>
  <c r="F40" i="5"/>
  <c r="G40" i="5"/>
  <c r="B41" i="5"/>
  <c r="B42" i="5"/>
  <c r="B43" i="5"/>
  <c r="B44" i="5"/>
  <c r="C44" i="5"/>
  <c r="D44" i="5"/>
  <c r="E44" i="5"/>
  <c r="F44" i="5"/>
  <c r="G44" i="5"/>
  <c r="B45" i="5"/>
  <c r="C45" i="5"/>
  <c r="D45" i="5"/>
  <c r="E45" i="5"/>
  <c r="F45" i="5"/>
  <c r="G45" i="5"/>
  <c r="B46" i="5"/>
  <c r="C46" i="5"/>
  <c r="D46" i="5"/>
  <c r="E46" i="5"/>
  <c r="F46" i="5"/>
  <c r="G46" i="5"/>
  <c r="B47" i="5"/>
  <c r="B48" i="5"/>
  <c r="C48" i="5"/>
  <c r="D48" i="5"/>
  <c r="E48" i="5"/>
  <c r="F48" i="5"/>
  <c r="G48" i="5"/>
  <c r="H48" i="5"/>
  <c r="I48" i="5"/>
  <c r="J48" i="5"/>
  <c r="K48" i="5"/>
  <c r="L48" i="5"/>
  <c r="B49" i="5"/>
  <c r="B50" i="5"/>
  <c r="B51" i="5"/>
  <c r="B52" i="5"/>
  <c r="B53" i="5"/>
  <c r="B54" i="5"/>
  <c r="B55" i="5"/>
  <c r="B56" i="5"/>
  <c r="C58" i="5"/>
  <c r="D58" i="5"/>
  <c r="E58" i="5"/>
  <c r="F58" i="5"/>
  <c r="G58" i="5"/>
  <c r="H58" i="5"/>
  <c r="I58" i="5"/>
  <c r="J58" i="5"/>
  <c r="K58" i="5"/>
  <c r="L58" i="5"/>
  <c r="B59" i="5"/>
  <c r="C59" i="5"/>
  <c r="D59" i="5"/>
  <c r="E59" i="5"/>
  <c r="F59" i="5"/>
  <c r="G59" i="5"/>
  <c r="B60" i="5"/>
  <c r="C60" i="5"/>
  <c r="D60" i="5"/>
  <c r="E60" i="5"/>
  <c r="F60" i="5"/>
  <c r="G60" i="5"/>
  <c r="H60" i="5"/>
  <c r="I60" i="5"/>
  <c r="J60" i="5"/>
  <c r="K60" i="5"/>
  <c r="L60" i="5"/>
  <c r="B61" i="5"/>
  <c r="C61" i="5"/>
  <c r="D61" i="5"/>
  <c r="E61" i="5"/>
  <c r="F61" i="5"/>
  <c r="G61" i="5"/>
  <c r="B62" i="5"/>
  <c r="B63" i="5"/>
  <c r="C66" i="5"/>
  <c r="C67" i="5"/>
  <c r="D5" i="3"/>
  <c r="E5" i="3"/>
  <c r="F5" i="3"/>
  <c r="G5" i="3"/>
  <c r="H5" i="3"/>
  <c r="I5" i="3"/>
  <c r="J5" i="3"/>
  <c r="K5" i="3"/>
  <c r="L5" i="3"/>
  <c r="C10" i="3"/>
  <c r="C11" i="3"/>
  <c r="C12" i="3"/>
  <c r="C13" i="3"/>
  <c r="C14" i="3"/>
  <c r="B17" i="3"/>
  <c r="C19" i="3"/>
  <c r="H20" i="3"/>
  <c r="I20" i="3"/>
  <c r="J20" i="3"/>
  <c r="K20" i="3"/>
  <c r="L20" i="3"/>
  <c r="H21" i="3"/>
  <c r="I21" i="3"/>
  <c r="J21" i="3"/>
  <c r="K21" i="3"/>
  <c r="L21" i="3"/>
  <c r="H22" i="3"/>
  <c r="I22" i="3"/>
  <c r="J22" i="3"/>
  <c r="K22" i="3"/>
  <c r="L22" i="3"/>
  <c r="B24" i="3"/>
  <c r="C26" i="3"/>
  <c r="H27" i="3"/>
  <c r="I27" i="3"/>
  <c r="J27" i="3"/>
  <c r="K27" i="3"/>
  <c r="L27" i="3"/>
  <c r="H28" i="3"/>
  <c r="H14" i="5" s="1"/>
  <c r="I28" i="3"/>
  <c r="J28" i="3"/>
  <c r="K28" i="3"/>
  <c r="L28" i="3"/>
  <c r="H29" i="3"/>
  <c r="I29" i="3"/>
  <c r="J29" i="3"/>
  <c r="K29" i="3"/>
  <c r="L29" i="3"/>
  <c r="H31" i="3"/>
  <c r="I31" i="3"/>
  <c r="J31" i="3"/>
  <c r="K31" i="3"/>
  <c r="L31" i="3"/>
  <c r="C32" i="3"/>
  <c r="D32" i="3"/>
  <c r="E32" i="3"/>
  <c r="F32" i="3"/>
  <c r="G32" i="3"/>
  <c r="H32" i="3"/>
  <c r="I32" i="3"/>
  <c r="J32" i="3"/>
  <c r="K32" i="3"/>
  <c r="L32" i="3"/>
  <c r="H36" i="3"/>
  <c r="I36" i="3"/>
  <c r="J36" i="3"/>
  <c r="K36" i="3"/>
  <c r="L36" i="3"/>
  <c r="H37" i="3"/>
  <c r="I37" i="3"/>
  <c r="J37" i="3"/>
  <c r="K37" i="3"/>
  <c r="L37" i="3"/>
  <c r="H38" i="3"/>
  <c r="H27" i="5" s="1"/>
  <c r="I38" i="3"/>
  <c r="I27" i="5" s="1"/>
  <c r="J38" i="3"/>
  <c r="J27" i="5" s="1"/>
  <c r="K38" i="3"/>
  <c r="K27" i="5" s="1"/>
  <c r="L38" i="3"/>
  <c r="L27" i="5" s="1"/>
  <c r="D39" i="3"/>
  <c r="E39" i="3"/>
  <c r="F39" i="3"/>
  <c r="G39" i="3"/>
  <c r="H39" i="3"/>
  <c r="I39" i="3"/>
  <c r="J39" i="3"/>
  <c r="K39" i="3"/>
  <c r="L39" i="3"/>
  <c r="D40" i="3"/>
  <c r="E40" i="3"/>
  <c r="F40" i="3"/>
  <c r="G40" i="3"/>
  <c r="H40" i="3"/>
  <c r="I40" i="3"/>
  <c r="J40" i="3"/>
  <c r="K40" i="3"/>
  <c r="L40" i="3"/>
  <c r="H41" i="3"/>
  <c r="I41" i="3"/>
  <c r="J41" i="3"/>
  <c r="K41" i="3"/>
  <c r="L41" i="3"/>
  <c r="C43" i="3"/>
  <c r="D43" i="3"/>
  <c r="E43" i="3"/>
  <c r="F43" i="3"/>
  <c r="G43" i="3"/>
  <c r="H43" i="3"/>
  <c r="I43" i="3"/>
  <c r="J43" i="3"/>
  <c r="K43" i="3"/>
  <c r="L43" i="3"/>
  <c r="D44" i="3"/>
  <c r="E44" i="3"/>
  <c r="F44" i="3"/>
  <c r="G44" i="3"/>
  <c r="H44" i="3"/>
  <c r="I44" i="3"/>
  <c r="J44" i="3"/>
  <c r="K44" i="3"/>
  <c r="L44" i="3"/>
  <c r="D45" i="3"/>
  <c r="E45" i="3"/>
  <c r="F45" i="3"/>
  <c r="G45" i="3"/>
  <c r="H45" i="3"/>
  <c r="I45" i="3"/>
  <c r="J45" i="3"/>
  <c r="K45" i="3"/>
  <c r="L45" i="3"/>
  <c r="D46" i="3"/>
  <c r="E46" i="3"/>
  <c r="F46" i="3"/>
  <c r="G46" i="3"/>
  <c r="H46" i="3"/>
  <c r="I46" i="3"/>
  <c r="J46" i="3"/>
  <c r="K46" i="3"/>
  <c r="L46" i="3"/>
  <c r="C48" i="3"/>
  <c r="D48" i="3"/>
  <c r="E48" i="3"/>
  <c r="F48" i="3"/>
  <c r="G48" i="3"/>
  <c r="H48" i="3"/>
  <c r="I48" i="3"/>
  <c r="J48" i="3"/>
  <c r="K48" i="3"/>
  <c r="L48" i="3"/>
  <c r="C49" i="3"/>
  <c r="D49" i="3"/>
  <c r="E49" i="3"/>
  <c r="F49" i="3"/>
  <c r="G49" i="3"/>
  <c r="H49" i="3"/>
  <c r="I49" i="3"/>
  <c r="J49" i="3"/>
  <c r="K49" i="3"/>
  <c r="L49" i="3"/>
  <c r="C50" i="3"/>
  <c r="D50" i="3"/>
  <c r="E50" i="3"/>
  <c r="F50" i="3"/>
  <c r="G50" i="3"/>
  <c r="H50" i="3"/>
  <c r="I50" i="3"/>
  <c r="J50" i="3"/>
  <c r="K50" i="3"/>
  <c r="L50" i="3"/>
  <c r="C51" i="3"/>
  <c r="D51" i="3"/>
  <c r="E51" i="3"/>
  <c r="F51" i="3"/>
  <c r="G51" i="3"/>
  <c r="H51" i="3"/>
  <c r="I51" i="3"/>
  <c r="J51" i="3"/>
  <c r="K51" i="3"/>
  <c r="L51" i="3"/>
  <c r="C53" i="3"/>
  <c r="D53" i="3"/>
  <c r="E53" i="3"/>
  <c r="F53" i="3"/>
  <c r="G53" i="3"/>
  <c r="H53" i="3"/>
  <c r="I53" i="3"/>
  <c r="J53" i="3"/>
  <c r="K53" i="3"/>
  <c r="L53" i="3"/>
  <c r="C55" i="3"/>
  <c r="D55" i="3"/>
  <c r="E55" i="3"/>
  <c r="F55" i="3"/>
  <c r="G55" i="3"/>
  <c r="H55" i="3"/>
  <c r="I55" i="3"/>
  <c r="J55" i="3"/>
  <c r="K55" i="3"/>
  <c r="L55" i="3"/>
  <c r="C56" i="3"/>
  <c r="D56" i="3"/>
  <c r="E56" i="3"/>
  <c r="F56" i="3"/>
  <c r="G56" i="3"/>
  <c r="H56" i="3"/>
  <c r="I56" i="3"/>
  <c r="J56" i="3"/>
  <c r="K56" i="3"/>
  <c r="L56" i="3"/>
  <c r="C57" i="3"/>
  <c r="D57" i="3"/>
  <c r="E57" i="3"/>
  <c r="F57" i="3"/>
  <c r="G57" i="3"/>
  <c r="H57" i="3"/>
  <c r="I57" i="3"/>
  <c r="J57" i="3"/>
  <c r="K57" i="3"/>
  <c r="L57" i="3"/>
  <c r="C58" i="3"/>
  <c r="D58" i="3"/>
  <c r="E58" i="3"/>
  <c r="F58" i="3"/>
  <c r="G58" i="3"/>
  <c r="H58" i="3"/>
  <c r="I58" i="3"/>
  <c r="J58" i="3"/>
  <c r="K58" i="3"/>
  <c r="L58" i="3"/>
  <c r="C59" i="3"/>
  <c r="D59" i="3"/>
  <c r="E59" i="3"/>
  <c r="F59" i="3"/>
  <c r="G59" i="3"/>
  <c r="H59" i="3"/>
  <c r="I59" i="3"/>
  <c r="J59" i="3"/>
  <c r="K59" i="3"/>
  <c r="L59" i="3"/>
  <c r="C60" i="3"/>
  <c r="D60" i="3"/>
  <c r="E60" i="3"/>
  <c r="F60" i="3"/>
  <c r="G60" i="3"/>
  <c r="H60" i="3"/>
  <c r="I60" i="3"/>
  <c r="J60" i="3"/>
  <c r="K60" i="3"/>
  <c r="L60" i="3"/>
  <c r="C61" i="3"/>
  <c r="D61" i="3"/>
  <c r="E61" i="3"/>
  <c r="F61" i="3"/>
  <c r="G61" i="3"/>
  <c r="H61" i="3"/>
  <c r="I61" i="3"/>
  <c r="J61" i="3"/>
  <c r="K61" i="3"/>
  <c r="L61" i="3"/>
  <c r="C62" i="3"/>
  <c r="D62" i="3"/>
  <c r="E62" i="3"/>
  <c r="F62" i="3"/>
  <c r="G62" i="3"/>
  <c r="H62" i="3"/>
  <c r="I62" i="3"/>
  <c r="J62" i="3"/>
  <c r="K62" i="3"/>
  <c r="L62" i="3"/>
  <c r="C63" i="3"/>
  <c r="D63" i="3"/>
  <c r="E63" i="3"/>
  <c r="F63" i="3"/>
  <c r="G63" i="3"/>
  <c r="H63" i="3"/>
  <c r="I63" i="3"/>
  <c r="J63" i="3"/>
  <c r="K63" i="3"/>
  <c r="L63" i="3"/>
  <c r="C64" i="3"/>
  <c r="D64" i="3"/>
  <c r="E64" i="3"/>
  <c r="F64" i="3"/>
  <c r="G64" i="3"/>
  <c r="H64" i="3"/>
  <c r="I64" i="3"/>
  <c r="J64" i="3"/>
  <c r="K64" i="3"/>
  <c r="L64" i="3"/>
  <c r="C65" i="3"/>
  <c r="D65" i="3"/>
  <c r="E65" i="3"/>
  <c r="F65" i="3"/>
  <c r="G65" i="3"/>
  <c r="H65" i="3"/>
  <c r="I65" i="3"/>
  <c r="J65" i="3"/>
  <c r="K65" i="3"/>
  <c r="L65" i="3"/>
  <c r="C66" i="3"/>
  <c r="D66" i="3"/>
  <c r="E66" i="3"/>
  <c r="F66" i="3"/>
  <c r="G66" i="3"/>
  <c r="H66" i="3"/>
  <c r="I66" i="3"/>
  <c r="J66" i="3"/>
  <c r="K66" i="3"/>
  <c r="L66" i="3"/>
  <c r="C67" i="3"/>
  <c r="D67" i="3"/>
  <c r="E67" i="3"/>
  <c r="F67" i="3"/>
  <c r="G67" i="3"/>
  <c r="H67" i="3"/>
  <c r="I67" i="3"/>
  <c r="J67" i="3"/>
  <c r="K67" i="3"/>
  <c r="L67" i="3"/>
  <c r="C68" i="3"/>
  <c r="D68" i="3"/>
  <c r="E68" i="3"/>
  <c r="F68" i="3"/>
  <c r="G68" i="3"/>
  <c r="H68" i="3"/>
  <c r="I68" i="3"/>
  <c r="J68" i="3"/>
  <c r="K68" i="3"/>
  <c r="L68" i="3"/>
  <c r="H70" i="3"/>
  <c r="I70" i="3"/>
  <c r="J70" i="3"/>
  <c r="K70" i="3"/>
  <c r="L70" i="3"/>
  <c r="C71" i="3"/>
  <c r="D71" i="3"/>
  <c r="E71" i="3"/>
  <c r="F71" i="3"/>
  <c r="G71" i="3"/>
  <c r="H71" i="3"/>
  <c r="I71" i="3"/>
  <c r="J71" i="3"/>
  <c r="K71" i="3"/>
  <c r="L71" i="3"/>
  <c r="H72" i="3"/>
  <c r="I72" i="3"/>
  <c r="J72" i="3"/>
  <c r="K72" i="3"/>
  <c r="L72" i="3"/>
  <c r="C73" i="3"/>
  <c r="D73" i="3"/>
  <c r="E73" i="3"/>
  <c r="F73" i="3"/>
  <c r="G73" i="3"/>
  <c r="H74" i="3"/>
  <c r="H73" i="3" s="1"/>
  <c r="I74" i="3"/>
  <c r="J74" i="3"/>
  <c r="K74" i="3"/>
  <c r="L74" i="3"/>
  <c r="D75" i="3"/>
  <c r="E75" i="3"/>
  <c r="F75" i="3"/>
  <c r="G75" i="3"/>
  <c r="H75" i="3"/>
  <c r="I75" i="3"/>
  <c r="J75" i="3"/>
  <c r="K75" i="3"/>
  <c r="L75" i="3"/>
  <c r="C76" i="3"/>
  <c r="D76" i="3"/>
  <c r="E76" i="3"/>
  <c r="F76" i="3"/>
  <c r="G76" i="3"/>
  <c r="H76" i="3"/>
  <c r="I76" i="3"/>
  <c r="J76" i="3"/>
  <c r="K76" i="3"/>
  <c r="L76" i="3"/>
  <c r="C77" i="3"/>
  <c r="D77" i="3"/>
  <c r="E77" i="3"/>
  <c r="F77" i="3"/>
  <c r="G77" i="3"/>
  <c r="H77" i="3"/>
  <c r="I77" i="3"/>
  <c r="J77" i="3"/>
  <c r="K77" i="3"/>
  <c r="L77" i="3"/>
  <c r="C78" i="3"/>
  <c r="D78" i="3"/>
  <c r="E78" i="3"/>
  <c r="F78" i="3"/>
  <c r="G78" i="3"/>
  <c r="H78" i="3"/>
  <c r="I78" i="3"/>
  <c r="J78" i="3"/>
  <c r="K78" i="3"/>
  <c r="L78" i="3"/>
  <c r="B39" i="7"/>
  <c r="B36" i="7"/>
  <c r="B33" i="7"/>
  <c r="B30" i="7"/>
  <c r="B9" i="7"/>
  <c r="B7" i="7"/>
  <c r="B8" i="7"/>
  <c r="B10" i="7"/>
  <c r="B11" i="7"/>
  <c r="B12" i="7"/>
  <c r="B13" i="7"/>
  <c r="B14" i="7"/>
  <c r="B19" i="7"/>
  <c r="B20" i="7"/>
  <c r="B21" i="7"/>
  <c r="B22" i="7"/>
  <c r="B25" i="7"/>
  <c r="B26" i="7"/>
  <c r="B27" i="7"/>
  <c r="B34" i="7"/>
  <c r="B40" i="7"/>
  <c r="B41" i="7"/>
  <c r="B42" i="7"/>
  <c r="B45" i="7"/>
  <c r="B46" i="7"/>
  <c r="B47" i="7"/>
  <c r="H27" i="6"/>
  <c r="H23" i="6"/>
  <c r="H22" i="6"/>
  <c r="H8" i="6"/>
  <c r="H9" i="6"/>
  <c r="H10" i="6"/>
  <c r="H11" i="6"/>
  <c r="H12" i="6"/>
  <c r="H13" i="6"/>
  <c r="H17" i="6"/>
  <c r="H19" i="6"/>
  <c r="D7" i="6"/>
  <c r="E7" i="6"/>
  <c r="D8" i="6"/>
  <c r="E8" i="6"/>
  <c r="D9" i="6"/>
  <c r="E9" i="6"/>
  <c r="D10" i="6"/>
  <c r="E10" i="6"/>
  <c r="D11" i="6"/>
  <c r="E11" i="6"/>
  <c r="D12" i="6"/>
  <c r="E12" i="6"/>
  <c r="D13" i="6"/>
  <c r="E13" i="6"/>
  <c r="D14" i="6"/>
  <c r="E14" i="6"/>
  <c r="D15" i="6"/>
  <c r="E15" i="6"/>
  <c r="D16" i="6"/>
  <c r="E16" i="6"/>
  <c r="D17" i="6"/>
  <c r="E17" i="6"/>
  <c r="D18" i="6"/>
  <c r="E18" i="6"/>
  <c r="D19" i="6"/>
  <c r="E19" i="6"/>
  <c r="D20" i="6"/>
  <c r="E20" i="6"/>
  <c r="D21" i="6"/>
  <c r="E21" i="6"/>
  <c r="D22" i="6"/>
  <c r="E22" i="6"/>
  <c r="D23" i="6"/>
  <c r="E23" i="6"/>
  <c r="D24" i="6"/>
  <c r="E24" i="6"/>
  <c r="D25" i="6"/>
  <c r="E25" i="6"/>
  <c r="D26" i="6"/>
  <c r="E26" i="6"/>
  <c r="D27" i="6"/>
  <c r="E27" i="6"/>
  <c r="D28" i="6"/>
  <c r="E28" i="6"/>
  <c r="D29" i="6"/>
  <c r="E29" i="6"/>
  <c r="D30" i="6"/>
  <c r="E30" i="6"/>
  <c r="D31" i="6"/>
  <c r="E31" i="6"/>
  <c r="D32" i="6"/>
  <c r="E32" i="6"/>
  <c r="D33" i="6"/>
  <c r="E33" i="6"/>
  <c r="D34" i="6"/>
  <c r="E34" i="6"/>
  <c r="D35" i="6"/>
  <c r="E35" i="6"/>
  <c r="D36" i="6"/>
  <c r="E36" i="6"/>
  <c r="D37" i="6"/>
  <c r="E37" i="6"/>
  <c r="D38" i="6"/>
  <c r="E38" i="6"/>
  <c r="D39" i="6"/>
  <c r="E39" i="6"/>
  <c r="D40" i="6"/>
  <c r="E40" i="6"/>
  <c r="D41" i="6"/>
  <c r="E41" i="6"/>
  <c r="D42" i="6"/>
  <c r="E42" i="6"/>
  <c r="D43" i="6"/>
  <c r="E43" i="6"/>
  <c r="D44" i="6"/>
  <c r="E44" i="6"/>
  <c r="D45" i="6"/>
  <c r="E45" i="6"/>
  <c r="D46" i="6"/>
  <c r="E46" i="6"/>
  <c r="D47" i="6"/>
  <c r="E47" i="6"/>
  <c r="D48" i="6"/>
  <c r="E48" i="6"/>
  <c r="D49" i="6"/>
  <c r="E49" i="6"/>
  <c r="D50" i="6"/>
  <c r="E50" i="6"/>
  <c r="D51" i="6"/>
  <c r="E51" i="6"/>
  <c r="D52" i="6"/>
  <c r="E52" i="6"/>
  <c r="D53" i="6"/>
  <c r="E53" i="6"/>
  <c r="D54" i="6"/>
  <c r="E54" i="6"/>
  <c r="D55" i="6"/>
  <c r="E55" i="6"/>
  <c r="D56" i="6"/>
  <c r="E56" i="6"/>
  <c r="D57" i="6"/>
  <c r="E57" i="6"/>
  <c r="D58" i="6"/>
  <c r="E58" i="6"/>
  <c r="D59" i="6"/>
  <c r="E59" i="6"/>
  <c r="D60" i="6"/>
  <c r="E60" i="6"/>
  <c r="D61" i="6"/>
  <c r="E61" i="6"/>
  <c r="D62" i="6"/>
  <c r="E62" i="6"/>
  <c r="D63" i="6"/>
  <c r="E63" i="6"/>
  <c r="D64" i="6"/>
  <c r="E64" i="6"/>
  <c r="D65" i="6"/>
  <c r="E65" i="6"/>
  <c r="D66" i="6"/>
  <c r="E66" i="6"/>
  <c r="B187" i="4"/>
  <c r="C187" i="4"/>
  <c r="D187" i="4"/>
  <c r="E187" i="4"/>
  <c r="F187" i="4"/>
  <c r="J187" i="4"/>
  <c r="B188" i="4"/>
  <c r="C188" i="4"/>
  <c r="D188" i="4"/>
  <c r="E188" i="4"/>
  <c r="F188" i="4"/>
  <c r="J188" i="4"/>
  <c r="B189" i="4"/>
  <c r="C189" i="4"/>
  <c r="D189" i="4"/>
  <c r="E189" i="4"/>
  <c r="F189" i="4"/>
  <c r="J189" i="4"/>
  <c r="B190" i="4"/>
  <c r="C190" i="4"/>
  <c r="D190" i="4"/>
  <c r="E190" i="4"/>
  <c r="F190" i="4"/>
  <c r="J190" i="4"/>
  <c r="B191" i="4"/>
  <c r="C191" i="4"/>
  <c r="D191" i="4"/>
  <c r="E191" i="4"/>
  <c r="F191" i="4"/>
  <c r="J191" i="4"/>
  <c r="B192" i="4"/>
  <c r="C192" i="4"/>
  <c r="D192" i="4"/>
  <c r="E192" i="4"/>
  <c r="F192" i="4"/>
  <c r="J192" i="4"/>
  <c r="B193" i="4"/>
  <c r="C193" i="4"/>
  <c r="D193" i="4"/>
  <c r="E193" i="4"/>
  <c r="F193" i="4"/>
  <c r="J193" i="4"/>
  <c r="B194" i="4"/>
  <c r="C194" i="4"/>
  <c r="D194" i="4"/>
  <c r="E194" i="4"/>
  <c r="F194" i="4"/>
  <c r="J194" i="4"/>
  <c r="B195" i="4"/>
  <c r="C195" i="4"/>
  <c r="D195" i="4"/>
  <c r="E195" i="4"/>
  <c r="F195" i="4"/>
  <c r="J195" i="4"/>
  <c r="B196" i="4"/>
  <c r="C196" i="4"/>
  <c r="D196" i="4"/>
  <c r="E196" i="4"/>
  <c r="F196" i="4"/>
  <c r="J196" i="4"/>
  <c r="B197" i="4"/>
  <c r="C197" i="4"/>
  <c r="D197" i="4"/>
  <c r="E197" i="4"/>
  <c r="F197" i="4"/>
  <c r="J197" i="4"/>
  <c r="B198" i="4"/>
  <c r="C198" i="4"/>
  <c r="D198" i="4"/>
  <c r="E198" i="4"/>
  <c r="F198" i="4"/>
  <c r="J198" i="4"/>
  <c r="B199" i="4"/>
  <c r="C199" i="4"/>
  <c r="D199" i="4"/>
  <c r="E199" i="4"/>
  <c r="F199" i="4"/>
  <c r="G199" i="4"/>
  <c r="H199" i="4"/>
  <c r="I199" i="4"/>
  <c r="J199" i="4"/>
  <c r="B200" i="4"/>
  <c r="C200" i="4"/>
  <c r="D200" i="4"/>
  <c r="E200" i="4"/>
  <c r="F200" i="4"/>
  <c r="G200" i="4"/>
  <c r="H200" i="4"/>
  <c r="I200" i="4"/>
  <c r="J200" i="4"/>
  <c r="B201" i="4"/>
  <c r="C201" i="4"/>
  <c r="D201" i="4"/>
  <c r="E201" i="4"/>
  <c r="F201" i="4"/>
  <c r="G201" i="4"/>
  <c r="H201" i="4"/>
  <c r="I201" i="4"/>
  <c r="J201" i="4"/>
  <c r="B202" i="4"/>
  <c r="C202" i="4"/>
  <c r="D202" i="4"/>
  <c r="E202" i="4"/>
  <c r="F202" i="4"/>
  <c r="B203" i="4"/>
  <c r="C203" i="4"/>
  <c r="D203" i="4"/>
  <c r="E203" i="4"/>
  <c r="F203" i="4"/>
  <c r="G203" i="4"/>
  <c r="H203" i="4"/>
  <c r="I203" i="4"/>
  <c r="J203" i="4"/>
  <c r="B204" i="4"/>
  <c r="C204" i="4"/>
  <c r="D204" i="4"/>
  <c r="E204" i="4"/>
  <c r="F204" i="4"/>
  <c r="G204" i="4"/>
  <c r="H204" i="4"/>
  <c r="I204" i="4"/>
  <c r="J204" i="4"/>
  <c r="B205" i="4"/>
  <c r="C205" i="4"/>
  <c r="D205" i="4"/>
  <c r="E205" i="4"/>
  <c r="F205" i="4"/>
  <c r="G205" i="4"/>
  <c r="H205" i="4"/>
  <c r="I205" i="4"/>
  <c r="B206" i="4"/>
  <c r="C206" i="4"/>
  <c r="D206" i="4"/>
  <c r="E206" i="4"/>
  <c r="F206" i="4"/>
  <c r="J206" i="4"/>
  <c r="B207" i="4"/>
  <c r="C207" i="4"/>
  <c r="D207" i="4"/>
  <c r="E207" i="4"/>
  <c r="F207" i="4"/>
  <c r="J207" i="4"/>
  <c r="B208" i="4"/>
  <c r="C208" i="4"/>
  <c r="D208" i="4"/>
  <c r="E208" i="4"/>
  <c r="F208" i="4"/>
  <c r="J208" i="4"/>
  <c r="B209" i="4"/>
  <c r="C209" i="4"/>
  <c r="D209" i="4"/>
  <c r="E209" i="4"/>
  <c r="F209" i="4"/>
  <c r="J209" i="4"/>
  <c r="B210" i="4"/>
  <c r="C210" i="4"/>
  <c r="D210" i="4"/>
  <c r="E210" i="4"/>
  <c r="F210" i="4"/>
  <c r="J210" i="4"/>
  <c r="F215" i="4"/>
  <c r="F218" i="4"/>
  <c r="F219" i="4"/>
  <c r="B35" i="4"/>
  <c r="C35" i="4"/>
  <c r="D35" i="4"/>
  <c r="E35" i="4"/>
  <c r="F35" i="4"/>
  <c r="G35" i="4"/>
  <c r="H35" i="4"/>
  <c r="I35" i="4"/>
  <c r="J35" i="4"/>
  <c r="J184" i="4"/>
  <c r="I184" i="4"/>
  <c r="H184" i="4"/>
  <c r="G184" i="4"/>
  <c r="F184" i="4"/>
  <c r="E184" i="4"/>
  <c r="D184" i="4"/>
  <c r="C184" i="4"/>
  <c r="B184" i="4"/>
  <c r="J183" i="4"/>
  <c r="I183" i="4"/>
  <c r="H183" i="4"/>
  <c r="G183" i="4"/>
  <c r="F183" i="4"/>
  <c r="E183" i="4"/>
  <c r="D183" i="4"/>
  <c r="C183" i="4"/>
  <c r="B183" i="4"/>
  <c r="J182" i="4"/>
  <c r="J181" i="4"/>
  <c r="I181" i="4"/>
  <c r="H181" i="4"/>
  <c r="G181" i="4"/>
  <c r="F181" i="4"/>
  <c r="E181" i="4"/>
  <c r="D181" i="4"/>
  <c r="C181" i="4"/>
  <c r="B181" i="4"/>
  <c r="J180" i="4"/>
  <c r="J179" i="4"/>
  <c r="I179" i="4"/>
  <c r="H179" i="4"/>
  <c r="G179" i="4"/>
  <c r="F179" i="4"/>
  <c r="E179" i="4"/>
  <c r="D179" i="4"/>
  <c r="C179" i="4"/>
  <c r="B179" i="4"/>
  <c r="J178" i="4"/>
  <c r="J177" i="4"/>
  <c r="I177" i="4"/>
  <c r="H177" i="4"/>
  <c r="G177" i="4"/>
  <c r="F177" i="4"/>
  <c r="E177" i="4"/>
  <c r="D177" i="4"/>
  <c r="C177" i="4"/>
  <c r="B177" i="4"/>
  <c r="J176" i="4"/>
  <c r="J175" i="4"/>
  <c r="J174" i="4"/>
  <c r="J173" i="4"/>
  <c r="J172" i="4"/>
  <c r="J171" i="4"/>
  <c r="J170" i="4"/>
  <c r="J169" i="4"/>
  <c r="I169" i="4"/>
  <c r="H169" i="4"/>
  <c r="G169" i="4"/>
  <c r="F169" i="4"/>
  <c r="E169" i="4"/>
  <c r="D169" i="4"/>
  <c r="C169" i="4"/>
  <c r="B169" i="4"/>
  <c r="J168" i="4"/>
  <c r="J167" i="4"/>
  <c r="J166" i="4"/>
  <c r="J165" i="4"/>
  <c r="J164" i="4"/>
  <c r="J163" i="4"/>
  <c r="J162" i="4"/>
  <c r="J161" i="4"/>
  <c r="J160" i="4"/>
  <c r="I160" i="4"/>
  <c r="H160" i="4"/>
  <c r="G160" i="4"/>
  <c r="F160" i="4"/>
  <c r="E160" i="4"/>
  <c r="D160" i="4"/>
  <c r="C160" i="4"/>
  <c r="B160" i="4"/>
  <c r="J159" i="4"/>
  <c r="J158" i="4"/>
  <c r="J157" i="4"/>
  <c r="J156" i="4"/>
  <c r="J155" i="4"/>
  <c r="J154" i="4"/>
  <c r="J153" i="4"/>
  <c r="J152" i="4"/>
  <c r="J151" i="4"/>
  <c r="J150" i="4"/>
  <c r="J149" i="4"/>
  <c r="J148" i="4"/>
  <c r="J147" i="4"/>
  <c r="J146" i="4"/>
  <c r="J143" i="4"/>
  <c r="I143" i="4"/>
  <c r="F143" i="4"/>
  <c r="E143" i="4"/>
  <c r="D143" i="4"/>
  <c r="C143" i="4"/>
  <c r="B143" i="4"/>
  <c r="J142" i="4"/>
  <c r="I142" i="4"/>
  <c r="F142" i="4"/>
  <c r="E142" i="4"/>
  <c r="D142" i="4"/>
  <c r="C142" i="4"/>
  <c r="B142" i="4"/>
  <c r="J141" i="4"/>
  <c r="I141" i="4"/>
  <c r="F141" i="4"/>
  <c r="E141" i="4"/>
  <c r="D141" i="4"/>
  <c r="C141" i="4"/>
  <c r="B141" i="4"/>
  <c r="J140" i="4"/>
  <c r="I140" i="4"/>
  <c r="F140" i="4"/>
  <c r="E140" i="4"/>
  <c r="D140" i="4"/>
  <c r="C140" i="4"/>
  <c r="B140" i="4"/>
  <c r="J139" i="4"/>
  <c r="I139" i="4"/>
  <c r="F139" i="4"/>
  <c r="E139" i="4"/>
  <c r="D139" i="4"/>
  <c r="C139" i="4"/>
  <c r="B139" i="4"/>
  <c r="J138" i="4"/>
  <c r="J137" i="4"/>
  <c r="I137" i="4"/>
  <c r="F137" i="4"/>
  <c r="E137" i="4"/>
  <c r="D137" i="4"/>
  <c r="C137" i="4"/>
  <c r="B137" i="4"/>
  <c r="J136" i="4"/>
  <c r="J135" i="4"/>
  <c r="J134" i="4"/>
  <c r="J133" i="4"/>
  <c r="J132" i="4"/>
  <c r="J131" i="4"/>
  <c r="J130" i="4"/>
  <c r="I130" i="4"/>
  <c r="F130" i="4"/>
  <c r="E130" i="4"/>
  <c r="D130" i="4"/>
  <c r="C130" i="4"/>
  <c r="B130" i="4"/>
  <c r="J129" i="4"/>
  <c r="J128" i="4"/>
  <c r="J127" i="4"/>
  <c r="J126" i="4"/>
  <c r="J125" i="4"/>
  <c r="I125" i="4"/>
  <c r="F125" i="4"/>
  <c r="E125" i="4"/>
  <c r="D125" i="4"/>
  <c r="C125" i="4"/>
  <c r="B125" i="4"/>
  <c r="J124" i="4"/>
  <c r="J123" i="4"/>
  <c r="J122" i="4"/>
  <c r="J121" i="4"/>
  <c r="J120" i="4"/>
  <c r="J119" i="4"/>
  <c r="J118" i="4"/>
  <c r="I118" i="4"/>
  <c r="F118" i="4"/>
  <c r="E118" i="4"/>
  <c r="D118" i="4"/>
  <c r="C118" i="4"/>
  <c r="B118" i="4"/>
  <c r="J117" i="4"/>
  <c r="J116" i="4"/>
  <c r="J115" i="4"/>
  <c r="J114" i="4"/>
  <c r="J113" i="4"/>
  <c r="J112" i="4"/>
  <c r="J111" i="4"/>
  <c r="I111" i="4"/>
  <c r="F111" i="4"/>
  <c r="E111" i="4"/>
  <c r="D111" i="4"/>
  <c r="C111" i="4"/>
  <c r="B111" i="4"/>
  <c r="J110" i="4"/>
  <c r="J109" i="4"/>
  <c r="J108" i="4"/>
  <c r="J107" i="4"/>
  <c r="J106" i="4"/>
  <c r="F86" i="4"/>
  <c r="E86" i="4"/>
  <c r="D86" i="4"/>
  <c r="C86" i="4"/>
  <c r="B86" i="4"/>
  <c r="F83" i="4"/>
  <c r="E83" i="4"/>
  <c r="D83" i="4"/>
  <c r="C83" i="4"/>
  <c r="B83" i="4"/>
  <c r="F79" i="4"/>
  <c r="E79" i="4"/>
  <c r="D79" i="4"/>
  <c r="C79" i="4"/>
  <c r="B79" i="4"/>
  <c r="F76" i="4"/>
  <c r="E76" i="4"/>
  <c r="D76" i="4"/>
  <c r="C76" i="4"/>
  <c r="B76" i="4"/>
  <c r="J62" i="4"/>
  <c r="I62" i="4"/>
  <c r="H62" i="4"/>
  <c r="G62" i="4"/>
  <c r="F62" i="4"/>
  <c r="E62" i="4"/>
  <c r="D62" i="4"/>
  <c r="C62" i="4"/>
  <c r="B62" i="4"/>
  <c r="J61" i="4"/>
  <c r="I61" i="4"/>
  <c r="H61" i="4"/>
  <c r="G61" i="4"/>
  <c r="F61" i="4"/>
  <c r="E61" i="4"/>
  <c r="D61" i="4"/>
  <c r="C61" i="4"/>
  <c r="B61" i="4"/>
  <c r="J60" i="4"/>
  <c r="I60" i="4"/>
  <c r="H60" i="4"/>
  <c r="G60" i="4"/>
  <c r="F60" i="4"/>
  <c r="E60" i="4"/>
  <c r="D60" i="4"/>
  <c r="C60" i="4"/>
  <c r="B60" i="4"/>
  <c r="J59" i="4"/>
  <c r="I59" i="4"/>
  <c r="H59" i="4"/>
  <c r="G59" i="4"/>
  <c r="F59" i="4"/>
  <c r="E59" i="4"/>
  <c r="D59" i="4"/>
  <c r="C59" i="4"/>
  <c r="B59" i="4"/>
  <c r="J58" i="4"/>
  <c r="I58" i="4"/>
  <c r="H58" i="4"/>
  <c r="G58" i="4"/>
  <c r="F58" i="4"/>
  <c r="E58" i="4"/>
  <c r="D58" i="4"/>
  <c r="C58" i="4"/>
  <c r="B58" i="4"/>
  <c r="J56" i="4"/>
  <c r="I56" i="4"/>
  <c r="H56" i="4"/>
  <c r="G56" i="4"/>
  <c r="F56" i="4"/>
  <c r="E56" i="4"/>
  <c r="D56" i="4"/>
  <c r="C56" i="4"/>
  <c r="B56" i="4"/>
  <c r="J55" i="4"/>
  <c r="J54" i="4"/>
  <c r="J53" i="4"/>
  <c r="J52" i="4"/>
  <c r="J51" i="4"/>
  <c r="I51" i="4"/>
  <c r="H51" i="4"/>
  <c r="G51" i="4"/>
  <c r="F51" i="4"/>
  <c r="E51" i="4"/>
  <c r="D51" i="4"/>
  <c r="C51" i="4"/>
  <c r="B51" i="4"/>
  <c r="J50" i="4"/>
  <c r="J49" i="4"/>
  <c r="J48" i="4"/>
  <c r="J46" i="4"/>
  <c r="I46" i="4"/>
  <c r="H46" i="4"/>
  <c r="G46" i="4"/>
  <c r="F46" i="4"/>
  <c r="E46" i="4"/>
  <c r="D46" i="4"/>
  <c r="C46" i="4"/>
  <c r="B46" i="4"/>
  <c r="J45" i="4"/>
  <c r="J44" i="4"/>
  <c r="I44" i="4"/>
  <c r="H44" i="4"/>
  <c r="G44" i="4"/>
  <c r="F44" i="4"/>
  <c r="E44" i="4"/>
  <c r="D44" i="4"/>
  <c r="C44" i="4"/>
  <c r="B44" i="4"/>
  <c r="J43" i="4"/>
  <c r="J42" i="4"/>
  <c r="J41" i="4"/>
  <c r="J36" i="4"/>
  <c r="J37" i="4" s="1"/>
  <c r="I36" i="4"/>
  <c r="I37" i="4" s="1"/>
  <c r="H36" i="4"/>
  <c r="H37" i="4" s="1"/>
  <c r="G36" i="4"/>
  <c r="G37" i="4" s="1"/>
  <c r="F36" i="4"/>
  <c r="F37" i="4" s="1"/>
  <c r="E36" i="4"/>
  <c r="E37" i="4" s="1"/>
  <c r="D36" i="4"/>
  <c r="D37" i="4" s="1"/>
  <c r="C36" i="4"/>
  <c r="C37" i="4" s="1"/>
  <c r="B36" i="4"/>
  <c r="B37" i="4" s="1"/>
  <c r="J34" i="4"/>
  <c r="J33" i="4"/>
  <c r="J32" i="4"/>
  <c r="J31" i="4"/>
  <c r="I31" i="4"/>
  <c r="H31" i="4"/>
  <c r="G31" i="4"/>
  <c r="F31" i="4"/>
  <c r="E31" i="4"/>
  <c r="D31" i="4"/>
  <c r="C31" i="4"/>
  <c r="B31" i="4"/>
  <c r="J30" i="4"/>
  <c r="J29" i="4"/>
  <c r="J28" i="4"/>
  <c r="I28" i="4"/>
  <c r="H28" i="4"/>
  <c r="G28" i="4"/>
  <c r="F28" i="4"/>
  <c r="E28" i="4"/>
  <c r="D28" i="4"/>
  <c r="C28" i="4"/>
  <c r="B28" i="4"/>
  <c r="J27" i="4"/>
  <c r="I27" i="4"/>
  <c r="H27" i="4"/>
  <c r="G27" i="4"/>
  <c r="F27" i="4"/>
  <c r="E27" i="4"/>
  <c r="D27" i="4"/>
  <c r="C27" i="4"/>
  <c r="B27" i="4"/>
  <c r="J26" i="4"/>
  <c r="J25" i="4"/>
  <c r="I25" i="4"/>
  <c r="H25" i="4"/>
  <c r="G25" i="4"/>
  <c r="F25" i="4"/>
  <c r="E25" i="4"/>
  <c r="D25" i="4"/>
  <c r="C25" i="4"/>
  <c r="B25" i="4"/>
  <c r="J24" i="4"/>
  <c r="J23" i="4"/>
  <c r="J22" i="4"/>
  <c r="J21" i="4"/>
  <c r="J20" i="4"/>
  <c r="I20" i="4"/>
  <c r="H20" i="4"/>
  <c r="G20" i="4"/>
  <c r="F20" i="4"/>
  <c r="E20" i="4"/>
  <c r="D20" i="4"/>
  <c r="C20" i="4"/>
  <c r="B20" i="4"/>
  <c r="J19" i="4"/>
  <c r="I19" i="4"/>
  <c r="H19" i="4"/>
  <c r="G19" i="4"/>
  <c r="F19" i="4"/>
  <c r="E19" i="4"/>
  <c r="D19" i="4"/>
  <c r="C19" i="4"/>
  <c r="B19" i="4"/>
  <c r="J18" i="4"/>
  <c r="J17" i="4"/>
  <c r="J16" i="4"/>
  <c r="J15" i="4"/>
  <c r="I15" i="4"/>
  <c r="H15" i="4"/>
  <c r="G15" i="4"/>
  <c r="F15" i="4"/>
  <c r="E15" i="4"/>
  <c r="D15" i="4"/>
  <c r="C15" i="4"/>
  <c r="B15" i="4"/>
  <c r="J14" i="4"/>
  <c r="I14" i="4"/>
  <c r="H14" i="4"/>
  <c r="G14" i="4"/>
  <c r="F14" i="4"/>
  <c r="E14" i="4"/>
  <c r="D14" i="4"/>
  <c r="C14" i="4"/>
  <c r="B14" i="4"/>
  <c r="J13" i="4"/>
  <c r="F13" i="4"/>
  <c r="E13" i="4"/>
  <c r="D13" i="4"/>
  <c r="C13" i="4"/>
  <c r="B13" i="4"/>
  <c r="J12" i="4"/>
  <c r="J11" i="4"/>
  <c r="J10" i="4"/>
  <c r="J9" i="4"/>
  <c r="F9" i="4"/>
  <c r="E9" i="4"/>
  <c r="D9" i="4"/>
  <c r="C9" i="4"/>
  <c r="B9" i="4"/>
  <c r="J8" i="4"/>
  <c r="J7" i="4"/>
  <c r="E29" i="13" l="1"/>
  <c r="B94" i="13" s="1"/>
  <c r="C94" i="13" s="1"/>
  <c r="F58" i="13"/>
  <c r="B96" i="13" s="1"/>
  <c r="C96" i="13" s="1"/>
  <c r="B98" i="13"/>
  <c r="C98" i="13" s="1"/>
  <c r="I22" i="10"/>
  <c r="I23" i="10"/>
  <c r="I24" i="10"/>
  <c r="I25" i="10"/>
  <c r="H22" i="10"/>
  <c r="H23" i="10"/>
  <c r="H24" i="10"/>
  <c r="H25" i="10"/>
  <c r="G22" i="10"/>
  <c r="G23" i="10"/>
  <c r="G24" i="10"/>
  <c r="G25" i="10"/>
  <c r="I12" i="10"/>
  <c r="I13" i="10"/>
  <c r="I14" i="10"/>
  <c r="I15" i="10"/>
  <c r="H12" i="10"/>
  <c r="H13" i="10"/>
  <c r="H14" i="10"/>
  <c r="H15" i="10"/>
  <c r="G12" i="10"/>
  <c r="G13" i="10"/>
  <c r="G14" i="10"/>
  <c r="G15" i="10"/>
  <c r="H10" i="2"/>
  <c r="I10" i="2"/>
  <c r="K10" i="2"/>
  <c r="M42" i="12"/>
  <c r="F22" i="10"/>
  <c r="D54" i="10" s="1"/>
  <c r="G54" i="10" s="1"/>
  <c r="F23" i="10"/>
  <c r="F24" i="10"/>
  <c r="C54" i="10" s="1"/>
  <c r="F54" i="10" s="1"/>
  <c r="F25" i="10"/>
  <c r="E54" i="10" s="1"/>
  <c r="H54" i="10" s="1"/>
  <c r="F12" i="10"/>
  <c r="F13" i="10"/>
  <c r="F14" i="10"/>
  <c r="F15" i="10"/>
  <c r="I14" i="5"/>
  <c r="H16" i="5"/>
  <c r="H26" i="5" s="1"/>
  <c r="H36" i="5" s="1"/>
  <c r="B419" i="9"/>
  <c r="B403" i="9"/>
  <c r="B387" i="9"/>
  <c r="B371" i="9"/>
  <c r="B355" i="9"/>
  <c r="B339" i="9"/>
  <c r="B323" i="9"/>
  <c r="B307" i="9"/>
  <c r="B291" i="9"/>
  <c r="B275" i="9"/>
  <c r="B18" i="9"/>
  <c r="B259" i="9"/>
  <c r="B243" i="9"/>
  <c r="B227" i="9"/>
  <c r="B211" i="9"/>
  <c r="B195" i="9"/>
  <c r="H9" i="5"/>
  <c r="G10" i="8"/>
  <c r="G108" i="5"/>
  <c r="F10" i="8"/>
  <c r="F108" i="5"/>
  <c r="E10" i="8"/>
  <c r="E108" i="5"/>
  <c r="D10" i="8"/>
  <c r="D108" i="5"/>
  <c r="C10" i="8"/>
  <c r="C108" i="5"/>
  <c r="G73" i="5"/>
  <c r="G74" i="5"/>
  <c r="G76" i="5"/>
  <c r="G78" i="5"/>
  <c r="G80" i="5"/>
  <c r="G83" i="5"/>
  <c r="G89" i="5"/>
  <c r="G90" i="5"/>
  <c r="G91" i="5"/>
  <c r="G93" i="5"/>
  <c r="G109" i="5"/>
  <c r="G121" i="5"/>
  <c r="G122" i="5"/>
  <c r="G137" i="5"/>
  <c r="F73" i="5"/>
  <c r="G111" i="5" s="1"/>
  <c r="F74" i="5"/>
  <c r="G112" i="5" s="1"/>
  <c r="F76" i="5"/>
  <c r="G114" i="5" s="1"/>
  <c r="F78" i="5"/>
  <c r="G115" i="5" s="1"/>
  <c r="F80" i="5"/>
  <c r="F83" i="5"/>
  <c r="F89" i="5"/>
  <c r="F90" i="5"/>
  <c r="F91" i="5"/>
  <c r="F93" i="5"/>
  <c r="F109" i="5"/>
  <c r="F121" i="5"/>
  <c r="F122" i="5"/>
  <c r="F137" i="5"/>
  <c r="E73" i="5"/>
  <c r="F111" i="5" s="1"/>
  <c r="E74" i="5"/>
  <c r="F112" i="5" s="1"/>
  <c r="E76" i="5"/>
  <c r="F114" i="5" s="1"/>
  <c r="E78" i="5"/>
  <c r="F115" i="5" s="1"/>
  <c r="E80" i="5"/>
  <c r="E83" i="5"/>
  <c r="E89" i="5"/>
  <c r="E90" i="5"/>
  <c r="E91" i="5"/>
  <c r="E93" i="5"/>
  <c r="E109" i="5"/>
  <c r="E121" i="5"/>
  <c r="E122" i="5"/>
  <c r="E137" i="5"/>
  <c r="D73" i="5"/>
  <c r="E111" i="5" s="1"/>
  <c r="D74" i="5"/>
  <c r="E112" i="5" s="1"/>
  <c r="D76" i="5"/>
  <c r="E114" i="5" s="1"/>
  <c r="D78" i="5"/>
  <c r="E115" i="5" s="1"/>
  <c r="D80" i="5"/>
  <c r="D83" i="5"/>
  <c r="D89" i="5"/>
  <c r="D90" i="5"/>
  <c r="D91" i="5"/>
  <c r="D93" i="5"/>
  <c r="D109" i="5"/>
  <c r="D121" i="5"/>
  <c r="D122" i="5"/>
  <c r="D137" i="5"/>
  <c r="C73" i="5"/>
  <c r="C74" i="5"/>
  <c r="C76" i="5"/>
  <c r="C78" i="5"/>
  <c r="C80" i="5"/>
  <c r="C83" i="5"/>
  <c r="C89" i="5"/>
  <c r="C117" i="5" s="1"/>
  <c r="C90" i="5"/>
  <c r="C118" i="5" s="1"/>
  <c r="C91" i="5"/>
  <c r="C93" i="5"/>
  <c r="C119" i="5" s="1"/>
  <c r="C109" i="5"/>
  <c r="C96" i="5" s="1"/>
  <c r="C121" i="5"/>
  <c r="C122" i="5"/>
  <c r="C82" i="5" s="1"/>
  <c r="C137" i="5"/>
  <c r="L37" i="5"/>
  <c r="K37" i="5"/>
  <c r="J37" i="5"/>
  <c r="I37" i="5"/>
  <c r="H37" i="5"/>
  <c r="C419" i="9"/>
  <c r="C339" i="9"/>
  <c r="C259" i="9"/>
  <c r="C179" i="9"/>
  <c r="C99" i="9"/>
  <c r="C403" i="9"/>
  <c r="C323" i="9"/>
  <c r="C243" i="9"/>
  <c r="C163" i="9"/>
  <c r="C83" i="9"/>
  <c r="D16" i="9"/>
  <c r="C387" i="9"/>
  <c r="C307" i="9"/>
  <c r="C227" i="9"/>
  <c r="C147" i="9"/>
  <c r="C67" i="9"/>
  <c r="D82" i="5"/>
  <c r="E82" i="5" s="1"/>
  <c r="F82" i="5" s="1"/>
  <c r="G82" i="5" s="1"/>
  <c r="D96" i="5"/>
  <c r="G41" i="5"/>
  <c r="F41" i="5"/>
  <c r="E41" i="5"/>
  <c r="D41" i="5"/>
  <c r="C41" i="5"/>
  <c r="I73" i="3"/>
  <c r="J73" i="3" s="1"/>
  <c r="K73" i="3" s="1"/>
  <c r="L73" i="3" s="1"/>
  <c r="E52" i="10" l="1"/>
  <c r="E53" i="10"/>
  <c r="H53" i="10" s="1"/>
  <c r="C52" i="10"/>
  <c r="C53" i="10"/>
  <c r="F53" i="10" s="1"/>
  <c r="D52" i="10"/>
  <c r="D53" i="10"/>
  <c r="G53" i="10" s="1"/>
  <c r="C196" i="9"/>
  <c r="C197" i="9"/>
  <c r="D197" i="9" s="1"/>
  <c r="E197" i="9" s="1"/>
  <c r="F197" i="9" s="1"/>
  <c r="G197" i="9" s="1"/>
  <c r="H197" i="9" s="1"/>
  <c r="I197" i="9" s="1"/>
  <c r="J197" i="9" s="1"/>
  <c r="K197" i="9" s="1"/>
  <c r="L197" i="9" s="1"/>
  <c r="C212" i="9"/>
  <c r="C213" i="9"/>
  <c r="D213" i="9" s="1"/>
  <c r="E213" i="9" s="1"/>
  <c r="F213" i="9" s="1"/>
  <c r="G213" i="9" s="1"/>
  <c r="H213" i="9" s="1"/>
  <c r="I213" i="9" s="1"/>
  <c r="J213" i="9" s="1"/>
  <c r="K213" i="9" s="1"/>
  <c r="L213" i="9" s="1"/>
  <c r="C228" i="9"/>
  <c r="C229" i="9"/>
  <c r="D229" i="9" s="1"/>
  <c r="E229" i="9" s="1"/>
  <c r="F229" i="9" s="1"/>
  <c r="G229" i="9" s="1"/>
  <c r="H229" i="9" s="1"/>
  <c r="I229" i="9" s="1"/>
  <c r="J229" i="9" s="1"/>
  <c r="K229" i="9" s="1"/>
  <c r="L229" i="9" s="1"/>
  <c r="C244" i="9"/>
  <c r="C245" i="9"/>
  <c r="D245" i="9" s="1"/>
  <c r="E245" i="9" s="1"/>
  <c r="F245" i="9" s="1"/>
  <c r="G245" i="9" s="1"/>
  <c r="H245" i="9" s="1"/>
  <c r="I245" i="9" s="1"/>
  <c r="J245" i="9" s="1"/>
  <c r="K245" i="9" s="1"/>
  <c r="L245" i="9" s="1"/>
  <c r="C260" i="9"/>
  <c r="C261" i="9"/>
  <c r="D261" i="9" s="1"/>
  <c r="E261" i="9" s="1"/>
  <c r="F261" i="9" s="1"/>
  <c r="G261" i="9" s="1"/>
  <c r="H261" i="9" s="1"/>
  <c r="I261" i="9" s="1"/>
  <c r="J261" i="9" s="1"/>
  <c r="K261" i="9" s="1"/>
  <c r="L261" i="9" s="1"/>
  <c r="B17" i="9"/>
  <c r="B179" i="9"/>
  <c r="B163" i="9"/>
  <c r="B147" i="9"/>
  <c r="B131" i="9"/>
  <c r="B115" i="9"/>
  <c r="C276" i="9"/>
  <c r="C277" i="9"/>
  <c r="D277" i="9" s="1"/>
  <c r="E277" i="9" s="1"/>
  <c r="F277" i="9" s="1"/>
  <c r="G277" i="9" s="1"/>
  <c r="H277" i="9" s="1"/>
  <c r="I277" i="9" s="1"/>
  <c r="J277" i="9" s="1"/>
  <c r="K277" i="9" s="1"/>
  <c r="L277" i="9" s="1"/>
  <c r="C292" i="9"/>
  <c r="C293" i="9"/>
  <c r="D293" i="9" s="1"/>
  <c r="E293" i="9" s="1"/>
  <c r="F293" i="9" s="1"/>
  <c r="G293" i="9" s="1"/>
  <c r="H293" i="9" s="1"/>
  <c r="I293" i="9" s="1"/>
  <c r="J293" i="9" s="1"/>
  <c r="K293" i="9" s="1"/>
  <c r="L293" i="9" s="1"/>
  <c r="C308" i="9"/>
  <c r="C309" i="9"/>
  <c r="D309" i="9" s="1"/>
  <c r="E309" i="9" s="1"/>
  <c r="F309" i="9" s="1"/>
  <c r="G309" i="9" s="1"/>
  <c r="H309" i="9" s="1"/>
  <c r="I309" i="9" s="1"/>
  <c r="J309" i="9" s="1"/>
  <c r="K309" i="9" s="1"/>
  <c r="L309" i="9" s="1"/>
  <c r="C324" i="9"/>
  <c r="C325" i="9"/>
  <c r="D325" i="9" s="1"/>
  <c r="E325" i="9" s="1"/>
  <c r="F325" i="9" s="1"/>
  <c r="G325" i="9" s="1"/>
  <c r="H325" i="9" s="1"/>
  <c r="I325" i="9" s="1"/>
  <c r="J325" i="9" s="1"/>
  <c r="K325" i="9" s="1"/>
  <c r="L325" i="9" s="1"/>
  <c r="C340" i="9"/>
  <c r="C341" i="9"/>
  <c r="D341" i="9" s="1"/>
  <c r="E341" i="9" s="1"/>
  <c r="F341" i="9" s="1"/>
  <c r="G341" i="9" s="1"/>
  <c r="H341" i="9" s="1"/>
  <c r="I341" i="9" s="1"/>
  <c r="J341" i="9" s="1"/>
  <c r="K341" i="9" s="1"/>
  <c r="L341" i="9" s="1"/>
  <c r="C356" i="9"/>
  <c r="C357" i="9"/>
  <c r="D357" i="9" s="1"/>
  <c r="E357" i="9" s="1"/>
  <c r="F357" i="9" s="1"/>
  <c r="G357" i="9" s="1"/>
  <c r="H357" i="9" s="1"/>
  <c r="I357" i="9" s="1"/>
  <c r="J357" i="9" s="1"/>
  <c r="K357" i="9" s="1"/>
  <c r="L357" i="9" s="1"/>
  <c r="C372" i="9"/>
  <c r="C373" i="9"/>
  <c r="D373" i="9" s="1"/>
  <c r="E373" i="9" s="1"/>
  <c r="F373" i="9" s="1"/>
  <c r="G373" i="9" s="1"/>
  <c r="H373" i="9" s="1"/>
  <c r="I373" i="9" s="1"/>
  <c r="J373" i="9" s="1"/>
  <c r="K373" i="9" s="1"/>
  <c r="L373" i="9" s="1"/>
  <c r="C388" i="9"/>
  <c r="C389" i="9"/>
  <c r="D389" i="9" s="1"/>
  <c r="E389" i="9" s="1"/>
  <c r="F389" i="9" s="1"/>
  <c r="G389" i="9" s="1"/>
  <c r="H389" i="9" s="1"/>
  <c r="I389" i="9" s="1"/>
  <c r="J389" i="9" s="1"/>
  <c r="K389" i="9" s="1"/>
  <c r="L389" i="9" s="1"/>
  <c r="C404" i="9"/>
  <c r="C405" i="9"/>
  <c r="D405" i="9" s="1"/>
  <c r="E405" i="9" s="1"/>
  <c r="F405" i="9" s="1"/>
  <c r="G405" i="9" s="1"/>
  <c r="H405" i="9" s="1"/>
  <c r="I405" i="9" s="1"/>
  <c r="J405" i="9" s="1"/>
  <c r="K405" i="9" s="1"/>
  <c r="L405" i="9" s="1"/>
  <c r="C420" i="9"/>
  <c r="C421" i="9"/>
  <c r="D421" i="9" s="1"/>
  <c r="E421" i="9" s="1"/>
  <c r="F421" i="9" s="1"/>
  <c r="G421" i="9" s="1"/>
  <c r="H421" i="9" s="1"/>
  <c r="I421" i="9" s="1"/>
  <c r="J421" i="9" s="1"/>
  <c r="K421" i="9" s="1"/>
  <c r="L421" i="9" s="1"/>
  <c r="J14" i="5"/>
  <c r="I16" i="5"/>
  <c r="I26" i="5" s="1"/>
  <c r="I36" i="5" s="1"/>
  <c r="C79" i="5"/>
  <c r="D79" i="5" s="1"/>
  <c r="E79" i="5" s="1"/>
  <c r="F79" i="5" s="1"/>
  <c r="G79" i="5" s="1"/>
  <c r="C123" i="5"/>
  <c r="C145" i="5"/>
  <c r="C11" i="8" s="1"/>
  <c r="C150" i="5"/>
  <c r="C115" i="5"/>
  <c r="D115" i="5"/>
  <c r="C114" i="5"/>
  <c r="D114" i="5"/>
  <c r="C112" i="5"/>
  <c r="D112" i="5"/>
  <c r="C111" i="5"/>
  <c r="D111" i="5"/>
  <c r="D123" i="5"/>
  <c r="D145" i="5"/>
  <c r="D11" i="8" s="1"/>
  <c r="D150" i="5"/>
  <c r="D119" i="5"/>
  <c r="D118" i="5"/>
  <c r="D117" i="5"/>
  <c r="E123" i="5"/>
  <c r="E145" i="5"/>
  <c r="E11" i="8" s="1"/>
  <c r="E150" i="5"/>
  <c r="E119" i="5"/>
  <c r="E118" i="5"/>
  <c r="E117" i="5"/>
  <c r="F123" i="5"/>
  <c r="F145" i="5"/>
  <c r="F11" i="8" s="1"/>
  <c r="F150" i="5"/>
  <c r="F119" i="5"/>
  <c r="F118" i="5"/>
  <c r="F117" i="5"/>
  <c r="G123" i="5"/>
  <c r="G145" i="5"/>
  <c r="G11" i="8" s="1"/>
  <c r="G150" i="5"/>
  <c r="G119" i="5"/>
  <c r="G118" i="5"/>
  <c r="G117" i="5"/>
  <c r="I9" i="5"/>
  <c r="H11" i="5"/>
  <c r="H22" i="5"/>
  <c r="C42" i="5"/>
  <c r="C75" i="5"/>
  <c r="C88" i="5"/>
  <c r="C116" i="5" s="1"/>
  <c r="D42" i="5"/>
  <c r="D75" i="5"/>
  <c r="D88" i="5"/>
  <c r="D116" i="5" s="1"/>
  <c r="E42" i="5"/>
  <c r="E75" i="5"/>
  <c r="E88" i="5"/>
  <c r="E116" i="5" s="1"/>
  <c r="F42" i="5"/>
  <c r="F75" i="5"/>
  <c r="F88" i="5"/>
  <c r="F116" i="5" s="1"/>
  <c r="G42" i="5"/>
  <c r="G75" i="5"/>
  <c r="G88" i="5"/>
  <c r="G116" i="5" s="1"/>
  <c r="C16" i="9"/>
  <c r="C371" i="9"/>
  <c r="C291" i="9"/>
  <c r="C211" i="9"/>
  <c r="C131" i="9"/>
  <c r="C51" i="9"/>
  <c r="E96" i="5"/>
  <c r="C43" i="5"/>
  <c r="C47" i="3" s="1"/>
  <c r="C47" i="5"/>
  <c r="D43" i="5"/>
  <c r="D47" i="3" s="1"/>
  <c r="D47" i="5"/>
  <c r="E43" i="5"/>
  <c r="E47" i="3" s="1"/>
  <c r="E47" i="5"/>
  <c r="F43" i="5"/>
  <c r="F47" i="3" s="1"/>
  <c r="F47" i="5"/>
  <c r="G43" i="5"/>
  <c r="G47" i="3" s="1"/>
  <c r="G47" i="5"/>
  <c r="G52" i="10" l="1"/>
  <c r="D55" i="10"/>
  <c r="G55" i="10" s="1"/>
  <c r="F52" i="10"/>
  <c r="C55" i="10"/>
  <c r="F55" i="10" s="1"/>
  <c r="H52" i="10"/>
  <c r="E55" i="10"/>
  <c r="H55" i="10" s="1"/>
  <c r="K14" i="5"/>
  <c r="J16" i="5"/>
  <c r="J26" i="5" s="1"/>
  <c r="J36" i="5" s="1"/>
  <c r="D420" i="9"/>
  <c r="C422" i="9"/>
  <c r="C423" i="9" s="1"/>
  <c r="D404" i="9"/>
  <c r="C406" i="9"/>
  <c r="C407" i="9" s="1"/>
  <c r="D388" i="9"/>
  <c r="C390" i="9"/>
  <c r="C391" i="9" s="1"/>
  <c r="D372" i="9"/>
  <c r="C374" i="9"/>
  <c r="C375" i="9" s="1"/>
  <c r="D356" i="9"/>
  <c r="C358" i="9"/>
  <c r="C359" i="9" s="1"/>
  <c r="D340" i="9"/>
  <c r="C342" i="9"/>
  <c r="C343" i="9" s="1"/>
  <c r="D324" i="9"/>
  <c r="C326" i="9"/>
  <c r="C327" i="9" s="1"/>
  <c r="D308" i="9"/>
  <c r="C310" i="9"/>
  <c r="C311" i="9" s="1"/>
  <c r="D292" i="9"/>
  <c r="C294" i="9"/>
  <c r="C295" i="9" s="1"/>
  <c r="D276" i="9"/>
  <c r="C278" i="9"/>
  <c r="C279" i="9" s="1"/>
  <c r="C116" i="9"/>
  <c r="C117" i="9"/>
  <c r="D117" i="9" s="1"/>
  <c r="E117" i="9" s="1"/>
  <c r="F117" i="9" s="1"/>
  <c r="G117" i="9" s="1"/>
  <c r="H117" i="9" s="1"/>
  <c r="I117" i="9" s="1"/>
  <c r="J117" i="9" s="1"/>
  <c r="K117" i="9" s="1"/>
  <c r="L117" i="9" s="1"/>
  <c r="C132" i="9"/>
  <c r="C133" i="9"/>
  <c r="D133" i="9" s="1"/>
  <c r="E133" i="9" s="1"/>
  <c r="F133" i="9" s="1"/>
  <c r="G133" i="9" s="1"/>
  <c r="H133" i="9" s="1"/>
  <c r="I133" i="9" s="1"/>
  <c r="J133" i="9" s="1"/>
  <c r="K133" i="9" s="1"/>
  <c r="L133" i="9" s="1"/>
  <c r="C148" i="9"/>
  <c r="C149" i="9"/>
  <c r="D149" i="9" s="1"/>
  <c r="E149" i="9" s="1"/>
  <c r="F149" i="9" s="1"/>
  <c r="G149" i="9" s="1"/>
  <c r="H149" i="9" s="1"/>
  <c r="I149" i="9" s="1"/>
  <c r="J149" i="9" s="1"/>
  <c r="K149" i="9" s="1"/>
  <c r="L149" i="9" s="1"/>
  <c r="C164" i="9"/>
  <c r="C165" i="9"/>
  <c r="D165" i="9" s="1"/>
  <c r="E165" i="9" s="1"/>
  <c r="F165" i="9" s="1"/>
  <c r="G165" i="9" s="1"/>
  <c r="H165" i="9" s="1"/>
  <c r="I165" i="9" s="1"/>
  <c r="J165" i="9" s="1"/>
  <c r="K165" i="9" s="1"/>
  <c r="L165" i="9" s="1"/>
  <c r="C180" i="9"/>
  <c r="C181" i="9"/>
  <c r="D181" i="9" s="1"/>
  <c r="E181" i="9" s="1"/>
  <c r="F181" i="9" s="1"/>
  <c r="G181" i="9" s="1"/>
  <c r="H181" i="9" s="1"/>
  <c r="I181" i="9" s="1"/>
  <c r="J181" i="9" s="1"/>
  <c r="K181" i="9" s="1"/>
  <c r="L181" i="9" s="1"/>
  <c r="B99" i="9"/>
  <c r="B83" i="9"/>
  <c r="B67" i="9"/>
  <c r="B51" i="9"/>
  <c r="B35" i="9"/>
  <c r="D260" i="9"/>
  <c r="C262" i="9"/>
  <c r="C263" i="9" s="1"/>
  <c r="D244" i="9"/>
  <c r="C246" i="9"/>
  <c r="C247" i="9" s="1"/>
  <c r="D228" i="9"/>
  <c r="C230" i="9"/>
  <c r="C231" i="9" s="1"/>
  <c r="D212" i="9"/>
  <c r="C214" i="9"/>
  <c r="C215" i="9" s="1"/>
  <c r="D196" i="9"/>
  <c r="C198" i="9"/>
  <c r="C199" i="9" s="1"/>
  <c r="H18" i="5"/>
  <c r="H25" i="5"/>
  <c r="J9" i="5"/>
  <c r="I11" i="5"/>
  <c r="I22" i="5"/>
  <c r="G7" i="8"/>
  <c r="G9" i="8" s="1"/>
  <c r="G143" i="5"/>
  <c r="F7" i="8"/>
  <c r="F9" i="8" s="1"/>
  <c r="F143" i="5"/>
  <c r="E7" i="8"/>
  <c r="E9" i="8" s="1"/>
  <c r="E143" i="5"/>
  <c r="D7" i="8"/>
  <c r="D9" i="8" s="1"/>
  <c r="D143" i="5"/>
  <c r="C7" i="8"/>
  <c r="C9" i="8" s="1"/>
  <c r="C143" i="5"/>
  <c r="C216" i="9"/>
  <c r="C296" i="9"/>
  <c r="C376" i="9"/>
  <c r="C355" i="9"/>
  <c r="C275" i="9"/>
  <c r="C195" i="9"/>
  <c r="C115" i="9"/>
  <c r="C35" i="9"/>
  <c r="G113" i="5"/>
  <c r="G144" i="5" s="1"/>
  <c r="F113" i="5"/>
  <c r="F144" i="5" s="1"/>
  <c r="E113" i="5"/>
  <c r="E144" i="5" s="1"/>
  <c r="C113" i="5"/>
  <c r="C144" i="5" s="1"/>
  <c r="D113" i="5"/>
  <c r="D144" i="5" s="1"/>
  <c r="F96" i="5"/>
  <c r="G62" i="5"/>
  <c r="F62" i="5"/>
  <c r="E62" i="5"/>
  <c r="D62" i="5"/>
  <c r="C50" i="5"/>
  <c r="C62" i="5"/>
  <c r="H56" i="10" l="1"/>
  <c r="F56" i="10"/>
  <c r="G56" i="10"/>
  <c r="C205" i="9"/>
  <c r="C206" i="9"/>
  <c r="E196" i="9"/>
  <c r="D198" i="9"/>
  <c r="D199" i="9" s="1"/>
  <c r="C221" i="9"/>
  <c r="C222" i="9"/>
  <c r="E212" i="9"/>
  <c r="D214" i="9"/>
  <c r="D215" i="9" s="1"/>
  <c r="C237" i="9"/>
  <c r="C238" i="9"/>
  <c r="C232" i="9"/>
  <c r="E228" i="9"/>
  <c r="D230" i="9"/>
  <c r="D231" i="9" s="1"/>
  <c r="D232" i="9"/>
  <c r="D236" i="9" s="1"/>
  <c r="C253" i="9"/>
  <c r="C254" i="9"/>
  <c r="C248" i="9"/>
  <c r="E244" i="9"/>
  <c r="D246" i="9"/>
  <c r="D247" i="9" s="1"/>
  <c r="D248" i="9"/>
  <c r="D252" i="9" s="1"/>
  <c r="C269" i="9"/>
  <c r="C270" i="9"/>
  <c r="C264" i="9"/>
  <c r="E260" i="9"/>
  <c r="D262" i="9"/>
  <c r="D263" i="9" s="1"/>
  <c r="D264" i="9"/>
  <c r="D268" i="9" s="1"/>
  <c r="C36" i="9"/>
  <c r="C37" i="9"/>
  <c r="D37" i="9" s="1"/>
  <c r="E37" i="9" s="1"/>
  <c r="F37" i="9" s="1"/>
  <c r="G37" i="9" s="1"/>
  <c r="H37" i="9" s="1"/>
  <c r="I37" i="9" s="1"/>
  <c r="J37" i="9" s="1"/>
  <c r="K37" i="9" s="1"/>
  <c r="L37" i="9" s="1"/>
  <c r="C52" i="9"/>
  <c r="C53" i="9"/>
  <c r="D53" i="9" s="1"/>
  <c r="E53" i="9" s="1"/>
  <c r="F53" i="9" s="1"/>
  <c r="G53" i="9" s="1"/>
  <c r="H53" i="9" s="1"/>
  <c r="I53" i="9" s="1"/>
  <c r="J53" i="9" s="1"/>
  <c r="K53" i="9" s="1"/>
  <c r="L53" i="9" s="1"/>
  <c r="C68" i="9"/>
  <c r="C69" i="9"/>
  <c r="D69" i="9" s="1"/>
  <c r="E69" i="9" s="1"/>
  <c r="F69" i="9" s="1"/>
  <c r="G69" i="9" s="1"/>
  <c r="H69" i="9" s="1"/>
  <c r="I69" i="9" s="1"/>
  <c r="J69" i="9" s="1"/>
  <c r="K69" i="9" s="1"/>
  <c r="L69" i="9" s="1"/>
  <c r="C84" i="9"/>
  <c r="C85" i="9"/>
  <c r="D85" i="9" s="1"/>
  <c r="E85" i="9" s="1"/>
  <c r="F85" i="9" s="1"/>
  <c r="G85" i="9" s="1"/>
  <c r="H85" i="9" s="1"/>
  <c r="I85" i="9" s="1"/>
  <c r="J85" i="9" s="1"/>
  <c r="K85" i="9" s="1"/>
  <c r="L85" i="9" s="1"/>
  <c r="C100" i="9"/>
  <c r="C101" i="9"/>
  <c r="D101" i="9" s="1"/>
  <c r="E101" i="9" s="1"/>
  <c r="F101" i="9" s="1"/>
  <c r="G101" i="9" s="1"/>
  <c r="H101" i="9" s="1"/>
  <c r="I101" i="9" s="1"/>
  <c r="J101" i="9" s="1"/>
  <c r="K101" i="9" s="1"/>
  <c r="L101" i="9" s="1"/>
  <c r="D180" i="9"/>
  <c r="C182" i="9"/>
  <c r="C183" i="9" s="1"/>
  <c r="C184" i="9"/>
  <c r="C188" i="9" s="1"/>
  <c r="D164" i="9"/>
  <c r="C166" i="9"/>
  <c r="C167" i="9" s="1"/>
  <c r="C168" i="9"/>
  <c r="C172" i="9" s="1"/>
  <c r="D148" i="9"/>
  <c r="C150" i="9"/>
  <c r="C151" i="9" s="1"/>
  <c r="C152" i="9"/>
  <c r="C156" i="9" s="1"/>
  <c r="D132" i="9"/>
  <c r="C134" i="9"/>
  <c r="C135" i="9" s="1"/>
  <c r="D116" i="9"/>
  <c r="C118" i="9"/>
  <c r="C119" i="9" s="1"/>
  <c r="C285" i="9"/>
  <c r="C286" i="9"/>
  <c r="E276" i="9"/>
  <c r="D278" i="9"/>
  <c r="D279" i="9" s="1"/>
  <c r="C301" i="9"/>
  <c r="C302" i="9"/>
  <c r="E292" i="9"/>
  <c r="D294" i="9"/>
  <c r="D295" i="9" s="1"/>
  <c r="C317" i="9"/>
  <c r="C318" i="9"/>
  <c r="C312" i="9"/>
  <c r="E308" i="9"/>
  <c r="D310" i="9"/>
  <c r="D311" i="9" s="1"/>
  <c r="D312" i="9"/>
  <c r="D316" i="9" s="1"/>
  <c r="C333" i="9"/>
  <c r="C334" i="9"/>
  <c r="C328" i="9"/>
  <c r="E324" i="9"/>
  <c r="D326" i="9"/>
  <c r="D327" i="9" s="1"/>
  <c r="D328" i="9"/>
  <c r="D332" i="9" s="1"/>
  <c r="C349" i="9"/>
  <c r="C350" i="9"/>
  <c r="C344" i="9"/>
  <c r="E340" i="9"/>
  <c r="D342" i="9"/>
  <c r="D343" i="9" s="1"/>
  <c r="D344" i="9"/>
  <c r="D348" i="9" s="1"/>
  <c r="C365" i="9"/>
  <c r="C366" i="9"/>
  <c r="E356" i="9"/>
  <c r="D358" i="9"/>
  <c r="D359" i="9" s="1"/>
  <c r="C381" i="9"/>
  <c r="C382" i="9"/>
  <c r="E372" i="9"/>
  <c r="D374" i="9"/>
  <c r="D375" i="9" s="1"/>
  <c r="C397" i="9"/>
  <c r="C398" i="9"/>
  <c r="C392" i="9"/>
  <c r="E388" i="9"/>
  <c r="D390" i="9"/>
  <c r="D391" i="9" s="1"/>
  <c r="D392" i="9"/>
  <c r="D396" i="9" s="1"/>
  <c r="C413" i="9"/>
  <c r="C414" i="9"/>
  <c r="C408" i="9"/>
  <c r="E404" i="9"/>
  <c r="D406" i="9"/>
  <c r="D407" i="9" s="1"/>
  <c r="D408" i="9"/>
  <c r="D412" i="9" s="1"/>
  <c r="C429" i="9"/>
  <c r="C430" i="9"/>
  <c r="C424" i="9"/>
  <c r="E420" i="9"/>
  <c r="D422" i="9"/>
  <c r="D423" i="9" s="1"/>
  <c r="D424" i="9"/>
  <c r="D428" i="9" s="1"/>
  <c r="L14" i="5"/>
  <c r="L16" i="5" s="1"/>
  <c r="L26" i="5" s="1"/>
  <c r="L36" i="5" s="1"/>
  <c r="K16" i="5"/>
  <c r="K26" i="5" s="1"/>
  <c r="K36" i="5" s="1"/>
  <c r="I18" i="5"/>
  <c r="I25" i="5"/>
  <c r="K9" i="5"/>
  <c r="J11" i="5"/>
  <c r="J22" i="5"/>
  <c r="H35" i="5"/>
  <c r="H28" i="5"/>
  <c r="H19" i="5"/>
  <c r="H20" i="5"/>
  <c r="C63" i="5"/>
  <c r="C86" i="5"/>
  <c r="C124" i="5" s="1"/>
  <c r="D63" i="5"/>
  <c r="D86" i="5"/>
  <c r="D124" i="5" s="1"/>
  <c r="E63" i="5"/>
  <c r="E86" i="5"/>
  <c r="E124" i="5" s="1"/>
  <c r="F63" i="5"/>
  <c r="F86" i="5"/>
  <c r="F124" i="5" s="1"/>
  <c r="G63" i="5"/>
  <c r="G86" i="5"/>
  <c r="G124" i="5" s="1"/>
  <c r="D12" i="8"/>
  <c r="D147" i="5"/>
  <c r="D148" i="5" s="1"/>
  <c r="C12" i="8"/>
  <c r="C147" i="5"/>
  <c r="C148" i="5" s="1"/>
  <c r="E12" i="8"/>
  <c r="E147" i="5"/>
  <c r="E148" i="5" s="1"/>
  <c r="F12" i="8"/>
  <c r="F147" i="5"/>
  <c r="F148" i="5" s="1"/>
  <c r="G12" i="8"/>
  <c r="G147" i="5"/>
  <c r="G148" i="5" s="1"/>
  <c r="C120" i="9"/>
  <c r="C200" i="9"/>
  <c r="D200" i="9"/>
  <c r="C280" i="9"/>
  <c r="D280" i="9"/>
  <c r="C360" i="9"/>
  <c r="D360" i="9"/>
  <c r="C377" i="9"/>
  <c r="C378" i="9" s="1"/>
  <c r="C379" i="9" s="1"/>
  <c r="C380" i="9"/>
  <c r="C297" i="9"/>
  <c r="C298" i="9" s="1"/>
  <c r="C299" i="9" s="1"/>
  <c r="C300" i="9"/>
  <c r="C217" i="9"/>
  <c r="C218" i="9" s="1"/>
  <c r="C219" i="9" s="1"/>
  <c r="C220" i="9"/>
  <c r="C146" i="5"/>
  <c r="C13" i="8"/>
  <c r="D146" i="5"/>
  <c r="D13" i="8"/>
  <c r="E146" i="5"/>
  <c r="E13" i="8"/>
  <c r="F146" i="5"/>
  <c r="F13" i="8"/>
  <c r="G146" i="5"/>
  <c r="G13" i="8"/>
  <c r="G96" i="5"/>
  <c r="C51" i="5"/>
  <c r="C52" i="5"/>
  <c r="C107" i="5" s="1"/>
  <c r="C120" i="5" s="1"/>
  <c r="G61" i="10" l="1"/>
  <c r="G63" i="10" s="1"/>
  <c r="G65" i="10"/>
  <c r="F61" i="10"/>
  <c r="F65" i="10"/>
  <c r="H61" i="10"/>
  <c r="H63" i="10" s="1"/>
  <c r="H65" i="10"/>
  <c r="D429" i="9"/>
  <c r="D430" i="9"/>
  <c r="D425" i="9"/>
  <c r="D426" i="9" s="1"/>
  <c r="F420" i="9"/>
  <c r="E422" i="9"/>
  <c r="E423" i="9" s="1"/>
  <c r="E424" i="9"/>
  <c r="E428" i="9" s="1"/>
  <c r="C425" i="9"/>
  <c r="C426" i="9" s="1"/>
  <c r="C427" i="9" s="1"/>
  <c r="C428" i="9"/>
  <c r="D413" i="9"/>
  <c r="D414" i="9"/>
  <c r="D409" i="9"/>
  <c r="D410" i="9" s="1"/>
  <c r="F404" i="9"/>
  <c r="E406" i="9"/>
  <c r="E407" i="9" s="1"/>
  <c r="E408" i="9"/>
  <c r="E412" i="9" s="1"/>
  <c r="C409" i="9"/>
  <c r="C410" i="9" s="1"/>
  <c r="C411" i="9" s="1"/>
  <c r="C412" i="9"/>
  <c r="D397" i="9"/>
  <c r="D398" i="9"/>
  <c r="D393" i="9"/>
  <c r="D394" i="9" s="1"/>
  <c r="F388" i="9"/>
  <c r="E390" i="9"/>
  <c r="E391" i="9" s="1"/>
  <c r="E392" i="9"/>
  <c r="E396" i="9" s="1"/>
  <c r="C393" i="9"/>
  <c r="C394" i="9" s="1"/>
  <c r="C395" i="9" s="1"/>
  <c r="C396" i="9"/>
  <c r="D381" i="9"/>
  <c r="D382" i="9"/>
  <c r="D376" i="9"/>
  <c r="F372" i="9"/>
  <c r="E374" i="9"/>
  <c r="E375" i="9" s="1"/>
  <c r="E376" i="9"/>
  <c r="E380" i="9" s="1"/>
  <c r="D365" i="9"/>
  <c r="D366" i="9"/>
  <c r="F356" i="9"/>
  <c r="E358" i="9"/>
  <c r="E359" i="9" s="1"/>
  <c r="D349" i="9"/>
  <c r="D350" i="9"/>
  <c r="D345" i="9"/>
  <c r="D346" i="9" s="1"/>
  <c r="F340" i="9"/>
  <c r="E342" i="9"/>
  <c r="E343" i="9" s="1"/>
  <c r="E344" i="9"/>
  <c r="E348" i="9" s="1"/>
  <c r="C345" i="9"/>
  <c r="C346" i="9" s="1"/>
  <c r="C347" i="9" s="1"/>
  <c r="C348" i="9"/>
  <c r="D333" i="9"/>
  <c r="D334" i="9"/>
  <c r="D329" i="9"/>
  <c r="D330" i="9" s="1"/>
  <c r="F324" i="9"/>
  <c r="E326" i="9"/>
  <c r="E327" i="9" s="1"/>
  <c r="E328" i="9"/>
  <c r="E332" i="9" s="1"/>
  <c r="C329" i="9"/>
  <c r="C330" i="9" s="1"/>
  <c r="C331" i="9" s="1"/>
  <c r="C332" i="9"/>
  <c r="D317" i="9"/>
  <c r="D318" i="9"/>
  <c r="D313" i="9"/>
  <c r="D314" i="9" s="1"/>
  <c r="F308" i="9"/>
  <c r="E310" i="9"/>
  <c r="E311" i="9" s="1"/>
  <c r="E312" i="9"/>
  <c r="E316" i="9" s="1"/>
  <c r="C313" i="9"/>
  <c r="C314" i="9" s="1"/>
  <c r="C315" i="9" s="1"/>
  <c r="C316" i="9"/>
  <c r="D301" i="9"/>
  <c r="D302" i="9"/>
  <c r="D296" i="9"/>
  <c r="F292" i="9"/>
  <c r="E294" i="9"/>
  <c r="E295" i="9" s="1"/>
  <c r="E296" i="9"/>
  <c r="E300" i="9" s="1"/>
  <c r="D285" i="9"/>
  <c r="D286" i="9"/>
  <c r="F276" i="9"/>
  <c r="E278" i="9"/>
  <c r="E279" i="9" s="1"/>
  <c r="C125" i="9"/>
  <c r="C126" i="9"/>
  <c r="E116" i="9"/>
  <c r="D118" i="9"/>
  <c r="D119" i="9" s="1"/>
  <c r="C141" i="9"/>
  <c r="C142" i="9"/>
  <c r="C136" i="9"/>
  <c r="E132" i="9"/>
  <c r="D134" i="9"/>
  <c r="D135" i="9" s="1"/>
  <c r="D136" i="9"/>
  <c r="D140" i="9" s="1"/>
  <c r="C157" i="9"/>
  <c r="C158" i="9"/>
  <c r="C153" i="9"/>
  <c r="C154" i="9" s="1"/>
  <c r="C155" i="9" s="1"/>
  <c r="E148" i="9"/>
  <c r="D150" i="9"/>
  <c r="D151" i="9" s="1"/>
  <c r="D152" i="9"/>
  <c r="D156" i="9" s="1"/>
  <c r="C173" i="9"/>
  <c r="C174" i="9"/>
  <c r="C169" i="9"/>
  <c r="C170" i="9" s="1"/>
  <c r="C171" i="9" s="1"/>
  <c r="E164" i="9"/>
  <c r="D166" i="9"/>
  <c r="D167" i="9" s="1"/>
  <c r="D168" i="9"/>
  <c r="D172" i="9" s="1"/>
  <c r="C189" i="9"/>
  <c r="C190" i="9"/>
  <c r="C185" i="9"/>
  <c r="C186" i="9" s="1"/>
  <c r="C187" i="9" s="1"/>
  <c r="E180" i="9"/>
  <c r="D182" i="9"/>
  <c r="D183" i="9" s="1"/>
  <c r="D184" i="9"/>
  <c r="D188" i="9" s="1"/>
  <c r="D100" i="9"/>
  <c r="C102" i="9"/>
  <c r="C103" i="9" s="1"/>
  <c r="C104" i="9"/>
  <c r="C108" i="9" s="1"/>
  <c r="D84" i="9"/>
  <c r="C86" i="9"/>
  <c r="C87" i="9" s="1"/>
  <c r="C88" i="9"/>
  <c r="C92" i="9" s="1"/>
  <c r="D68" i="9"/>
  <c r="C70" i="9"/>
  <c r="C71" i="9" s="1"/>
  <c r="C72" i="9"/>
  <c r="C76" i="9" s="1"/>
  <c r="D52" i="9"/>
  <c r="C54" i="9"/>
  <c r="C55" i="9" s="1"/>
  <c r="C56" i="9"/>
  <c r="C60" i="9" s="1"/>
  <c r="D36" i="9"/>
  <c r="C38" i="9"/>
  <c r="C39" i="9" s="1"/>
  <c r="D269" i="9"/>
  <c r="D270" i="9"/>
  <c r="D265" i="9"/>
  <c r="D266" i="9" s="1"/>
  <c r="F260" i="9"/>
  <c r="E262" i="9"/>
  <c r="E263" i="9" s="1"/>
  <c r="E264" i="9"/>
  <c r="E268" i="9" s="1"/>
  <c r="C265" i="9"/>
  <c r="C266" i="9" s="1"/>
  <c r="C267" i="9" s="1"/>
  <c r="C268" i="9"/>
  <c r="D253" i="9"/>
  <c r="D254" i="9"/>
  <c r="D249" i="9"/>
  <c r="D250" i="9" s="1"/>
  <c r="F244" i="9"/>
  <c r="E246" i="9"/>
  <c r="E247" i="9" s="1"/>
  <c r="E248" i="9"/>
  <c r="E252" i="9" s="1"/>
  <c r="C249" i="9"/>
  <c r="C250" i="9" s="1"/>
  <c r="C251" i="9" s="1"/>
  <c r="C252" i="9"/>
  <c r="D237" i="9"/>
  <c r="D238" i="9"/>
  <c r="D233" i="9"/>
  <c r="D234" i="9" s="1"/>
  <c r="F228" i="9"/>
  <c r="E230" i="9"/>
  <c r="E231" i="9" s="1"/>
  <c r="E232" i="9"/>
  <c r="E236" i="9" s="1"/>
  <c r="C233" i="9"/>
  <c r="C234" i="9" s="1"/>
  <c r="C235" i="9" s="1"/>
  <c r="C236" i="9"/>
  <c r="D221" i="9"/>
  <c r="D222" i="9"/>
  <c r="D216" i="9"/>
  <c r="F212" i="9"/>
  <c r="E214" i="9"/>
  <c r="E215" i="9" s="1"/>
  <c r="E216" i="9"/>
  <c r="E220" i="9" s="1"/>
  <c r="D205" i="9"/>
  <c r="D206" i="9"/>
  <c r="F196" i="9"/>
  <c r="E198" i="9"/>
  <c r="E199" i="9" s="1"/>
  <c r="H21" i="5"/>
  <c r="H29" i="5"/>
  <c r="H30" i="5"/>
  <c r="H40" i="5"/>
  <c r="H33" i="5"/>
  <c r="H34" i="5" s="1"/>
  <c r="J18" i="5"/>
  <c r="J25" i="5"/>
  <c r="L9" i="5"/>
  <c r="K11" i="5"/>
  <c r="K22" i="5"/>
  <c r="I35" i="5"/>
  <c r="I28" i="5"/>
  <c r="I19" i="5"/>
  <c r="I20" i="5"/>
  <c r="G15" i="8"/>
  <c r="G18" i="8" s="1"/>
  <c r="F15" i="8"/>
  <c r="F18" i="8" s="1"/>
  <c r="E15" i="8"/>
  <c r="E18" i="8" s="1"/>
  <c r="D15" i="8"/>
  <c r="D18" i="8" s="1"/>
  <c r="C432" i="9"/>
  <c r="C416" i="9"/>
  <c r="C400" i="9"/>
  <c r="C384" i="9"/>
  <c r="C352" i="9"/>
  <c r="C336" i="9"/>
  <c r="C320" i="9"/>
  <c r="C304" i="9"/>
  <c r="C272" i="9"/>
  <c r="C256" i="9"/>
  <c r="C240" i="9"/>
  <c r="C224" i="9"/>
  <c r="C192" i="9"/>
  <c r="C176" i="9"/>
  <c r="C160" i="9"/>
  <c r="C15" i="8"/>
  <c r="D361" i="9"/>
  <c r="D362" i="9" s="1"/>
  <c r="D364" i="9"/>
  <c r="C361" i="9"/>
  <c r="C362" i="9" s="1"/>
  <c r="C363" i="9" s="1"/>
  <c r="C364" i="9"/>
  <c r="C368" i="9" s="1"/>
  <c r="D281" i="9"/>
  <c r="D282" i="9" s="1"/>
  <c r="D284" i="9"/>
  <c r="C281" i="9"/>
  <c r="C282" i="9" s="1"/>
  <c r="C283" i="9" s="1"/>
  <c r="C284" i="9"/>
  <c r="C288" i="9" s="1"/>
  <c r="D201" i="9"/>
  <c r="D202" i="9" s="1"/>
  <c r="D204" i="9"/>
  <c r="C201" i="9"/>
  <c r="C202" i="9" s="1"/>
  <c r="C203" i="9" s="1"/>
  <c r="C204" i="9"/>
  <c r="C208" i="9" s="1"/>
  <c r="C121" i="9"/>
  <c r="C122" i="9" s="1"/>
  <c r="C123" i="9" s="1"/>
  <c r="C124" i="9"/>
  <c r="C128" i="9" s="1"/>
  <c r="C53" i="5"/>
  <c r="C127" i="5" s="1"/>
  <c r="C54" i="5"/>
  <c r="H64" i="10" l="1"/>
  <c r="K8" i="2"/>
  <c r="F63" i="10"/>
  <c r="G64" i="10"/>
  <c r="B16" i="2"/>
  <c r="C75" i="13" s="1"/>
  <c r="E75" i="13" s="1"/>
  <c r="E205" i="9"/>
  <c r="E206" i="9"/>
  <c r="E200" i="9"/>
  <c r="G196" i="9"/>
  <c r="F198" i="9"/>
  <c r="F199" i="9" s="1"/>
  <c r="F200" i="9"/>
  <c r="F204" i="9" s="1"/>
  <c r="E221" i="9"/>
  <c r="E222" i="9"/>
  <c r="E217" i="9"/>
  <c r="E218" i="9" s="1"/>
  <c r="G212" i="9"/>
  <c r="F214" i="9"/>
  <c r="F215" i="9" s="1"/>
  <c r="F216" i="9"/>
  <c r="F220" i="9" s="1"/>
  <c r="D217" i="9"/>
  <c r="D218" i="9" s="1"/>
  <c r="D219" i="9" s="1"/>
  <c r="D220" i="9"/>
  <c r="E237" i="9"/>
  <c r="E238" i="9"/>
  <c r="E233" i="9"/>
  <c r="E234" i="9" s="1"/>
  <c r="E235" i="9" s="1"/>
  <c r="G228" i="9"/>
  <c r="F230" i="9"/>
  <c r="F231" i="9" s="1"/>
  <c r="F232" i="9"/>
  <c r="F236" i="9" s="1"/>
  <c r="D235" i="9"/>
  <c r="D240" i="9" s="1"/>
  <c r="E253" i="9"/>
  <c r="E254" i="9"/>
  <c r="E249" i="9"/>
  <c r="E250" i="9" s="1"/>
  <c r="E251" i="9" s="1"/>
  <c r="G244" i="9"/>
  <c r="F246" i="9"/>
  <c r="F247" i="9" s="1"/>
  <c r="F248" i="9"/>
  <c r="F252" i="9" s="1"/>
  <c r="D251" i="9"/>
  <c r="D256" i="9" s="1"/>
  <c r="E269" i="9"/>
  <c r="E270" i="9"/>
  <c r="E265" i="9"/>
  <c r="E266" i="9" s="1"/>
  <c r="E267" i="9" s="1"/>
  <c r="G260" i="9"/>
  <c r="F262" i="9"/>
  <c r="F263" i="9" s="1"/>
  <c r="F264" i="9"/>
  <c r="F268" i="9" s="1"/>
  <c r="D267" i="9"/>
  <c r="D272" i="9" s="1"/>
  <c r="C45" i="9"/>
  <c r="C46" i="9"/>
  <c r="C40" i="9"/>
  <c r="E36" i="9"/>
  <c r="D38" i="9"/>
  <c r="D39" i="9" s="1"/>
  <c r="D40" i="9"/>
  <c r="D44" i="9" s="1"/>
  <c r="C61" i="9"/>
  <c r="C62" i="9"/>
  <c r="C57" i="9"/>
  <c r="C58" i="9" s="1"/>
  <c r="C59" i="9" s="1"/>
  <c r="E52" i="9"/>
  <c r="D54" i="9"/>
  <c r="D55" i="9" s="1"/>
  <c r="D56" i="9"/>
  <c r="D60" i="9" s="1"/>
  <c r="C77" i="9"/>
  <c r="C78" i="9"/>
  <c r="C73" i="9"/>
  <c r="C74" i="9" s="1"/>
  <c r="C75" i="9" s="1"/>
  <c r="E68" i="9"/>
  <c r="D70" i="9"/>
  <c r="D71" i="9" s="1"/>
  <c r="D72" i="9"/>
  <c r="D76" i="9" s="1"/>
  <c r="C93" i="9"/>
  <c r="C94" i="9"/>
  <c r="C89" i="9"/>
  <c r="C90" i="9" s="1"/>
  <c r="C91" i="9" s="1"/>
  <c r="E84" i="9"/>
  <c r="D86" i="9"/>
  <c r="D87" i="9" s="1"/>
  <c r="D88" i="9"/>
  <c r="D92" i="9" s="1"/>
  <c r="C109" i="9"/>
  <c r="C110" i="9"/>
  <c r="C105" i="9"/>
  <c r="C106" i="9" s="1"/>
  <c r="C107" i="9" s="1"/>
  <c r="E100" i="9"/>
  <c r="D102" i="9"/>
  <c r="D103" i="9" s="1"/>
  <c r="D104" i="9"/>
  <c r="D108" i="9" s="1"/>
  <c r="D189" i="9"/>
  <c r="D190" i="9"/>
  <c r="D185" i="9"/>
  <c r="D186" i="9" s="1"/>
  <c r="D187" i="9" s="1"/>
  <c r="F180" i="9"/>
  <c r="E182" i="9"/>
  <c r="E183" i="9" s="1"/>
  <c r="E184" i="9"/>
  <c r="E188" i="9" s="1"/>
  <c r="D173" i="9"/>
  <c r="D174" i="9"/>
  <c r="D169" i="9"/>
  <c r="D170" i="9" s="1"/>
  <c r="D171" i="9" s="1"/>
  <c r="F164" i="9"/>
  <c r="E166" i="9"/>
  <c r="E167" i="9" s="1"/>
  <c r="E168" i="9"/>
  <c r="E172" i="9" s="1"/>
  <c r="D157" i="9"/>
  <c r="D158" i="9"/>
  <c r="D153" i="9"/>
  <c r="D154" i="9" s="1"/>
  <c r="D155" i="9" s="1"/>
  <c r="F148" i="9"/>
  <c r="E150" i="9"/>
  <c r="E151" i="9" s="1"/>
  <c r="E152" i="9"/>
  <c r="E156" i="9" s="1"/>
  <c r="D141" i="9"/>
  <c r="D142" i="9"/>
  <c r="D137" i="9"/>
  <c r="D138" i="9" s="1"/>
  <c r="F132" i="9"/>
  <c r="E134" i="9"/>
  <c r="E135" i="9" s="1"/>
  <c r="E136" i="9"/>
  <c r="E140" i="9" s="1"/>
  <c r="C137" i="9"/>
  <c r="C138" i="9" s="1"/>
  <c r="C139" i="9" s="1"/>
  <c r="C140" i="9"/>
  <c r="C144" i="9" s="1"/>
  <c r="D125" i="9"/>
  <c r="D126" i="9"/>
  <c r="D120" i="9"/>
  <c r="F116" i="9"/>
  <c r="E118" i="9"/>
  <c r="E119" i="9" s="1"/>
  <c r="E120" i="9"/>
  <c r="E124" i="9" s="1"/>
  <c r="E285" i="9"/>
  <c r="E286" i="9"/>
  <c r="E280" i="9"/>
  <c r="G276" i="9"/>
  <c r="F278" i="9"/>
  <c r="F279" i="9" s="1"/>
  <c r="F280" i="9"/>
  <c r="F284" i="9" s="1"/>
  <c r="E301" i="9"/>
  <c r="E302" i="9"/>
  <c r="E297" i="9"/>
  <c r="E298" i="9" s="1"/>
  <c r="G292" i="9"/>
  <c r="F294" i="9"/>
  <c r="F295" i="9" s="1"/>
  <c r="F296" i="9"/>
  <c r="F300" i="9" s="1"/>
  <c r="D297" i="9"/>
  <c r="D298" i="9" s="1"/>
  <c r="D299" i="9" s="1"/>
  <c r="D300" i="9"/>
  <c r="E317" i="9"/>
  <c r="E318" i="9"/>
  <c r="E313" i="9"/>
  <c r="E314" i="9" s="1"/>
  <c r="E315" i="9" s="1"/>
  <c r="G308" i="9"/>
  <c r="F310" i="9"/>
  <c r="F311" i="9" s="1"/>
  <c r="F312" i="9"/>
  <c r="F316" i="9" s="1"/>
  <c r="D315" i="9"/>
  <c r="D320" i="9" s="1"/>
  <c r="E333" i="9"/>
  <c r="E334" i="9"/>
  <c r="E329" i="9"/>
  <c r="E330" i="9" s="1"/>
  <c r="E331" i="9" s="1"/>
  <c r="G324" i="9"/>
  <c r="F326" i="9"/>
  <c r="F327" i="9" s="1"/>
  <c r="F328" i="9"/>
  <c r="F332" i="9" s="1"/>
  <c r="D331" i="9"/>
  <c r="D336" i="9" s="1"/>
  <c r="E349" i="9"/>
  <c r="E350" i="9"/>
  <c r="E345" i="9"/>
  <c r="E346" i="9" s="1"/>
  <c r="E347" i="9" s="1"/>
  <c r="G340" i="9"/>
  <c r="F342" i="9"/>
  <c r="F343" i="9" s="1"/>
  <c r="F344" i="9"/>
  <c r="F348" i="9" s="1"/>
  <c r="D347" i="9"/>
  <c r="D352" i="9" s="1"/>
  <c r="E365" i="9"/>
  <c r="E366" i="9"/>
  <c r="E360" i="9"/>
  <c r="G356" i="9"/>
  <c r="F358" i="9"/>
  <c r="F359" i="9" s="1"/>
  <c r="F360" i="9"/>
  <c r="F364" i="9" s="1"/>
  <c r="E381" i="9"/>
  <c r="E382" i="9"/>
  <c r="E377" i="9"/>
  <c r="E378" i="9" s="1"/>
  <c r="G372" i="9"/>
  <c r="F374" i="9"/>
  <c r="F375" i="9" s="1"/>
  <c r="F376" i="9"/>
  <c r="F380" i="9" s="1"/>
  <c r="D377" i="9"/>
  <c r="D378" i="9" s="1"/>
  <c r="D379" i="9" s="1"/>
  <c r="D380" i="9"/>
  <c r="E397" i="9"/>
  <c r="E398" i="9"/>
  <c r="E393" i="9"/>
  <c r="E394" i="9" s="1"/>
  <c r="E395" i="9" s="1"/>
  <c r="G388" i="9"/>
  <c r="F390" i="9"/>
  <c r="F391" i="9" s="1"/>
  <c r="F392" i="9"/>
  <c r="F396" i="9" s="1"/>
  <c r="D395" i="9"/>
  <c r="D400" i="9" s="1"/>
  <c r="E413" i="9"/>
  <c r="E414" i="9"/>
  <c r="E409" i="9"/>
  <c r="E410" i="9" s="1"/>
  <c r="E411" i="9" s="1"/>
  <c r="G404" i="9"/>
  <c r="F406" i="9"/>
  <c r="F407" i="9" s="1"/>
  <c r="F408" i="9"/>
  <c r="F412" i="9" s="1"/>
  <c r="D411" i="9"/>
  <c r="D416" i="9" s="1"/>
  <c r="E429" i="9"/>
  <c r="E430" i="9"/>
  <c r="E425" i="9"/>
  <c r="E426" i="9" s="1"/>
  <c r="E427" i="9" s="1"/>
  <c r="G420" i="9"/>
  <c r="F422" i="9"/>
  <c r="F423" i="9" s="1"/>
  <c r="F424" i="9"/>
  <c r="F428" i="9" s="1"/>
  <c r="D427" i="9"/>
  <c r="D432" i="9" s="1"/>
  <c r="I21" i="5"/>
  <c r="I29" i="5"/>
  <c r="I30" i="5"/>
  <c r="I40" i="5"/>
  <c r="I33" i="5"/>
  <c r="I34" i="5" s="1"/>
  <c r="K18" i="5"/>
  <c r="K25" i="5"/>
  <c r="L11" i="5"/>
  <c r="L22" i="5"/>
  <c r="J35" i="5"/>
  <c r="J28" i="5"/>
  <c r="J19" i="5"/>
  <c r="J20" i="5"/>
  <c r="H73" i="5"/>
  <c r="H74" i="5"/>
  <c r="H76" i="5"/>
  <c r="H78" i="5"/>
  <c r="H80" i="5"/>
  <c r="H83" i="5"/>
  <c r="H89" i="5"/>
  <c r="H117" i="5" s="1"/>
  <c r="H90" i="5"/>
  <c r="H118" i="5" s="1"/>
  <c r="H91" i="5"/>
  <c r="H93" i="5"/>
  <c r="H119" i="5" s="1"/>
  <c r="H109" i="5"/>
  <c r="H96" i="5" s="1"/>
  <c r="H122" i="5"/>
  <c r="H82" i="5" s="1"/>
  <c r="H137" i="5"/>
  <c r="H44" i="5"/>
  <c r="H45" i="5"/>
  <c r="H46" i="5"/>
  <c r="H59" i="5"/>
  <c r="H61" i="5" s="1"/>
  <c r="H41" i="5"/>
  <c r="H42" i="5"/>
  <c r="D203" i="9"/>
  <c r="D208" i="9" s="1"/>
  <c r="D283" i="9"/>
  <c r="D288" i="9" s="1"/>
  <c r="D363" i="9"/>
  <c r="D368" i="9" s="1"/>
  <c r="C18" i="8"/>
  <c r="C98" i="5"/>
  <c r="C101" i="5"/>
  <c r="C136" i="5"/>
  <c r="D16" i="2" l="1"/>
  <c r="E16" i="2"/>
  <c r="F64" i="10"/>
  <c r="B20" i="12" s="1" a="1"/>
  <c r="B20" i="12" s="1"/>
  <c r="H8" i="2"/>
  <c r="I8" i="2"/>
  <c r="J8" i="2"/>
  <c r="F429" i="9"/>
  <c r="F430" i="9"/>
  <c r="F425" i="9"/>
  <c r="F426" i="9" s="1"/>
  <c r="F427" i="9" s="1"/>
  <c r="H420" i="9"/>
  <c r="G422" i="9"/>
  <c r="G423" i="9" s="1"/>
  <c r="G424" i="9"/>
  <c r="G428" i="9" s="1"/>
  <c r="E432" i="9"/>
  <c r="F413" i="9"/>
  <c r="F414" i="9"/>
  <c r="F409" i="9"/>
  <c r="F410" i="9" s="1"/>
  <c r="F411" i="9" s="1"/>
  <c r="H404" i="9"/>
  <c r="G406" i="9"/>
  <c r="G407" i="9" s="1"/>
  <c r="G408" i="9"/>
  <c r="G412" i="9" s="1"/>
  <c r="E416" i="9"/>
  <c r="F397" i="9"/>
  <c r="F398" i="9"/>
  <c r="F393" i="9"/>
  <c r="F394" i="9" s="1"/>
  <c r="F395" i="9" s="1"/>
  <c r="H388" i="9"/>
  <c r="G390" i="9"/>
  <c r="G391" i="9" s="1"/>
  <c r="G392" i="9"/>
  <c r="G396" i="9" s="1"/>
  <c r="E400" i="9"/>
  <c r="D384" i="9"/>
  <c r="F381" i="9"/>
  <c r="F382" i="9"/>
  <c r="F377" i="9"/>
  <c r="F378" i="9" s="1"/>
  <c r="F379" i="9" s="1"/>
  <c r="F384" i="9" s="1"/>
  <c r="H372" i="9"/>
  <c r="G374" i="9"/>
  <c r="G375" i="9" s="1"/>
  <c r="G376" i="9"/>
  <c r="G380" i="9" s="1"/>
  <c r="E379" i="9"/>
  <c r="E384" i="9" s="1"/>
  <c r="F365" i="9"/>
  <c r="F366" i="9"/>
  <c r="F361" i="9"/>
  <c r="F362" i="9" s="1"/>
  <c r="H356" i="9"/>
  <c r="G358" i="9"/>
  <c r="G359" i="9" s="1"/>
  <c r="G360" i="9"/>
  <c r="G364" i="9" s="1"/>
  <c r="E361" i="9"/>
  <c r="E362" i="9" s="1"/>
  <c r="E363" i="9" s="1"/>
  <c r="E364" i="9"/>
  <c r="F349" i="9"/>
  <c r="F350" i="9"/>
  <c r="F345" i="9"/>
  <c r="F346" i="9" s="1"/>
  <c r="F347" i="9" s="1"/>
  <c r="H340" i="9"/>
  <c r="G342" i="9"/>
  <c r="G343" i="9" s="1"/>
  <c r="G344" i="9"/>
  <c r="G348" i="9" s="1"/>
  <c r="E352" i="9"/>
  <c r="F333" i="9"/>
  <c r="F334" i="9"/>
  <c r="F329" i="9"/>
  <c r="F330" i="9" s="1"/>
  <c r="F331" i="9" s="1"/>
  <c r="H324" i="9"/>
  <c r="G326" i="9"/>
  <c r="G327" i="9" s="1"/>
  <c r="G328" i="9"/>
  <c r="G332" i="9" s="1"/>
  <c r="E336" i="9"/>
  <c r="F317" i="9"/>
  <c r="F318" i="9"/>
  <c r="F313" i="9"/>
  <c r="F314" i="9" s="1"/>
  <c r="F315" i="9" s="1"/>
  <c r="H308" i="9"/>
  <c r="G310" i="9"/>
  <c r="G311" i="9" s="1"/>
  <c r="G312" i="9"/>
  <c r="G316" i="9" s="1"/>
  <c r="E320" i="9"/>
  <c r="D304" i="9"/>
  <c r="F301" i="9"/>
  <c r="F302" i="9"/>
  <c r="F297" i="9"/>
  <c r="F298" i="9" s="1"/>
  <c r="F299" i="9" s="1"/>
  <c r="F304" i="9" s="1"/>
  <c r="H292" i="9"/>
  <c r="G294" i="9"/>
  <c r="G295" i="9" s="1"/>
  <c r="G296" i="9"/>
  <c r="G300" i="9" s="1"/>
  <c r="E299" i="9"/>
  <c r="E304" i="9" s="1"/>
  <c r="F285" i="9"/>
  <c r="F286" i="9"/>
  <c r="F281" i="9"/>
  <c r="F282" i="9" s="1"/>
  <c r="H276" i="9"/>
  <c r="G278" i="9"/>
  <c r="G279" i="9" s="1"/>
  <c r="G280" i="9"/>
  <c r="G284" i="9" s="1"/>
  <c r="E281" i="9"/>
  <c r="E282" i="9" s="1"/>
  <c r="E283" i="9" s="1"/>
  <c r="E284" i="9"/>
  <c r="E125" i="9"/>
  <c r="E126" i="9"/>
  <c r="E121" i="9"/>
  <c r="E122" i="9" s="1"/>
  <c r="G116" i="9"/>
  <c r="F118" i="9"/>
  <c r="F119" i="9" s="1"/>
  <c r="F120" i="9"/>
  <c r="F124" i="9" s="1"/>
  <c r="D121" i="9"/>
  <c r="D122" i="9" s="1"/>
  <c r="D123" i="9" s="1"/>
  <c r="D124" i="9"/>
  <c r="E141" i="9"/>
  <c r="E142" i="9"/>
  <c r="E137" i="9"/>
  <c r="E138" i="9" s="1"/>
  <c r="E139" i="9" s="1"/>
  <c r="E144" i="9" s="1"/>
  <c r="G132" i="9"/>
  <c r="F134" i="9"/>
  <c r="F135" i="9" s="1"/>
  <c r="F136" i="9"/>
  <c r="F140" i="9" s="1"/>
  <c r="D139" i="9"/>
  <c r="D144" i="9" s="1"/>
  <c r="E157" i="9"/>
  <c r="E158" i="9"/>
  <c r="E153" i="9"/>
  <c r="E154" i="9" s="1"/>
  <c r="E155" i="9" s="1"/>
  <c r="G148" i="9"/>
  <c r="F150" i="9"/>
  <c r="F151" i="9" s="1"/>
  <c r="F152" i="9"/>
  <c r="F156" i="9" s="1"/>
  <c r="D160" i="9"/>
  <c r="E173" i="9"/>
  <c r="E174" i="9"/>
  <c r="E169" i="9"/>
  <c r="E170" i="9" s="1"/>
  <c r="E171" i="9" s="1"/>
  <c r="G164" i="9"/>
  <c r="F166" i="9"/>
  <c r="F167" i="9" s="1"/>
  <c r="F168" i="9"/>
  <c r="F172" i="9" s="1"/>
  <c r="D176" i="9"/>
  <c r="E189" i="9"/>
  <c r="E190" i="9"/>
  <c r="E185" i="9"/>
  <c r="E186" i="9" s="1"/>
  <c r="E187" i="9" s="1"/>
  <c r="G180" i="9"/>
  <c r="F182" i="9"/>
  <c r="F183" i="9" s="1"/>
  <c r="F184" i="9"/>
  <c r="F188" i="9" s="1"/>
  <c r="D192" i="9"/>
  <c r="D109" i="9"/>
  <c r="D110" i="9"/>
  <c r="D105" i="9"/>
  <c r="D106" i="9" s="1"/>
  <c r="D107" i="9" s="1"/>
  <c r="F100" i="9"/>
  <c r="E102" i="9"/>
  <c r="E103" i="9" s="1"/>
  <c r="E104" i="9"/>
  <c r="E108" i="9" s="1"/>
  <c r="C112" i="9"/>
  <c r="D93" i="9"/>
  <c r="D94" i="9"/>
  <c r="D89" i="9"/>
  <c r="D90" i="9" s="1"/>
  <c r="D91" i="9" s="1"/>
  <c r="F84" i="9"/>
  <c r="E86" i="9"/>
  <c r="E87" i="9" s="1"/>
  <c r="E88" i="9"/>
  <c r="E92" i="9" s="1"/>
  <c r="C96" i="9"/>
  <c r="D77" i="9"/>
  <c r="D78" i="9"/>
  <c r="D73" i="9"/>
  <c r="D74" i="9" s="1"/>
  <c r="D75" i="9" s="1"/>
  <c r="F68" i="9"/>
  <c r="E70" i="9"/>
  <c r="E71" i="9" s="1"/>
  <c r="E72" i="9"/>
  <c r="E76" i="9" s="1"/>
  <c r="C80" i="9"/>
  <c r="D61" i="9"/>
  <c r="D62" i="9"/>
  <c r="D57" i="9"/>
  <c r="D58" i="9" s="1"/>
  <c r="D59" i="9" s="1"/>
  <c r="D64" i="9" s="1"/>
  <c r="F52" i="9"/>
  <c r="E54" i="9"/>
  <c r="E55" i="9" s="1"/>
  <c r="E56" i="9"/>
  <c r="E60" i="9" s="1"/>
  <c r="C64" i="9"/>
  <c r="D45" i="9"/>
  <c r="D46" i="9"/>
  <c r="D41" i="9"/>
  <c r="D42" i="9" s="1"/>
  <c r="F36" i="9"/>
  <c r="E38" i="9"/>
  <c r="E39" i="9" s="1"/>
  <c r="E40" i="9"/>
  <c r="E44" i="9" s="1"/>
  <c r="C41" i="9"/>
  <c r="C42" i="9" s="1"/>
  <c r="C43" i="9" s="1"/>
  <c r="C44" i="9"/>
  <c r="C48" i="9" s="1"/>
  <c r="F269" i="9"/>
  <c r="F270" i="9"/>
  <c r="F265" i="9"/>
  <c r="F266" i="9" s="1"/>
  <c r="F267" i="9" s="1"/>
  <c r="H260" i="9"/>
  <c r="G262" i="9"/>
  <c r="G263" i="9" s="1"/>
  <c r="G264" i="9"/>
  <c r="G268" i="9" s="1"/>
  <c r="E272" i="9"/>
  <c r="F253" i="9"/>
  <c r="F254" i="9"/>
  <c r="F249" i="9"/>
  <c r="F250" i="9" s="1"/>
  <c r="F251" i="9" s="1"/>
  <c r="H244" i="9"/>
  <c r="G246" i="9"/>
  <c r="G247" i="9" s="1"/>
  <c r="G248" i="9"/>
  <c r="G252" i="9" s="1"/>
  <c r="E256" i="9"/>
  <c r="F237" i="9"/>
  <c r="F238" i="9"/>
  <c r="F233" i="9"/>
  <c r="F234" i="9" s="1"/>
  <c r="F235" i="9" s="1"/>
  <c r="H228" i="9"/>
  <c r="G230" i="9"/>
  <c r="G231" i="9" s="1"/>
  <c r="G232" i="9"/>
  <c r="G236" i="9" s="1"/>
  <c r="E240" i="9"/>
  <c r="D224" i="9"/>
  <c r="F221" i="9"/>
  <c r="F222" i="9"/>
  <c r="F217" i="9"/>
  <c r="F218" i="9" s="1"/>
  <c r="F219" i="9" s="1"/>
  <c r="F224" i="9" s="1"/>
  <c r="H212" i="9"/>
  <c r="G214" i="9"/>
  <c r="G215" i="9" s="1"/>
  <c r="G216" i="9"/>
  <c r="G220" i="9" s="1"/>
  <c r="E219" i="9"/>
  <c r="E224" i="9" s="1"/>
  <c r="F205" i="9"/>
  <c r="F206" i="9"/>
  <c r="F201" i="9"/>
  <c r="F202" i="9" s="1"/>
  <c r="H196" i="9"/>
  <c r="G198" i="9"/>
  <c r="G199" i="9" s="1"/>
  <c r="G200" i="9"/>
  <c r="G204" i="9" s="1"/>
  <c r="E201" i="9"/>
  <c r="E202" i="9" s="1"/>
  <c r="E203" i="9" s="1"/>
  <c r="E204" i="9"/>
  <c r="H43" i="5"/>
  <c r="H47" i="3" s="1"/>
  <c r="H47" i="5"/>
  <c r="H75" i="5"/>
  <c r="H88" i="5"/>
  <c r="H116" i="5" s="1"/>
  <c r="H10" i="8"/>
  <c r="H108" i="5"/>
  <c r="H115" i="5"/>
  <c r="H114" i="5"/>
  <c r="H112" i="5"/>
  <c r="H111" i="5"/>
  <c r="J21" i="5"/>
  <c r="J29" i="5"/>
  <c r="J30" i="5"/>
  <c r="J40" i="5"/>
  <c r="J33" i="5"/>
  <c r="J34" i="5" s="1"/>
  <c r="L18" i="5"/>
  <c r="L25" i="5"/>
  <c r="K35" i="5"/>
  <c r="K28" i="5"/>
  <c r="K19" i="5"/>
  <c r="K20" i="5"/>
  <c r="I73" i="5"/>
  <c r="I74" i="5"/>
  <c r="I76" i="5"/>
  <c r="I78" i="5"/>
  <c r="I80" i="5"/>
  <c r="I83" i="5"/>
  <c r="I89" i="5"/>
  <c r="I117" i="5" s="1"/>
  <c r="I90" i="5"/>
  <c r="I118" i="5" s="1"/>
  <c r="I91" i="5"/>
  <c r="I93" i="5"/>
  <c r="I119" i="5" s="1"/>
  <c r="I109" i="5"/>
  <c r="I96" i="5" s="1"/>
  <c r="I122" i="5"/>
  <c r="I82" i="5" s="1"/>
  <c r="I137" i="5"/>
  <c r="I44" i="5"/>
  <c r="I45" i="5"/>
  <c r="I46" i="5"/>
  <c r="I59" i="5"/>
  <c r="I61" i="5" s="1"/>
  <c r="I41" i="5"/>
  <c r="I42" i="5"/>
  <c r="C138" i="5"/>
  <c r="C87" i="5" s="1"/>
  <c r="C139" i="5"/>
  <c r="C140" i="5"/>
  <c r="C72" i="5" s="1"/>
  <c r="E208" i="9" l="1"/>
  <c r="G205" i="9"/>
  <c r="G206" i="9"/>
  <c r="G201" i="9"/>
  <c r="G202" i="9" s="1"/>
  <c r="G203" i="9" s="1"/>
  <c r="G208" i="9" s="1"/>
  <c r="I196" i="9"/>
  <c r="H198" i="9"/>
  <c r="H199" i="9" s="1"/>
  <c r="H200" i="9"/>
  <c r="H204" i="9" s="1"/>
  <c r="F203" i="9"/>
  <c r="F208" i="9" s="1"/>
  <c r="G221" i="9"/>
  <c r="G222" i="9"/>
  <c r="G217" i="9"/>
  <c r="G218" i="9" s="1"/>
  <c r="G219" i="9" s="1"/>
  <c r="G224" i="9" s="1"/>
  <c r="I212" i="9"/>
  <c r="H214" i="9"/>
  <c r="H215" i="9" s="1"/>
  <c r="H216" i="9"/>
  <c r="H220" i="9" s="1"/>
  <c r="G237" i="9"/>
  <c r="G238" i="9"/>
  <c r="G233" i="9"/>
  <c r="G234" i="9" s="1"/>
  <c r="G235" i="9" s="1"/>
  <c r="I228" i="9"/>
  <c r="H230" i="9"/>
  <c r="H231" i="9" s="1"/>
  <c r="H232" i="9"/>
  <c r="H236" i="9" s="1"/>
  <c r="F240" i="9"/>
  <c r="G253" i="9"/>
  <c r="G254" i="9"/>
  <c r="G249" i="9"/>
  <c r="G250" i="9" s="1"/>
  <c r="G251" i="9" s="1"/>
  <c r="I244" i="9"/>
  <c r="H246" i="9"/>
  <c r="H247" i="9" s="1"/>
  <c r="H248" i="9"/>
  <c r="H252" i="9" s="1"/>
  <c r="F256" i="9"/>
  <c r="G269" i="9"/>
  <c r="G270" i="9"/>
  <c r="G265" i="9"/>
  <c r="G266" i="9" s="1"/>
  <c r="G267" i="9" s="1"/>
  <c r="I260" i="9"/>
  <c r="H262" i="9"/>
  <c r="H263" i="9" s="1"/>
  <c r="H264" i="9"/>
  <c r="H268" i="9" s="1"/>
  <c r="F272" i="9"/>
  <c r="E45" i="9"/>
  <c r="E46" i="9"/>
  <c r="E41" i="9"/>
  <c r="E42" i="9" s="1"/>
  <c r="E43" i="9" s="1"/>
  <c r="E48" i="9" s="1"/>
  <c r="G36" i="9"/>
  <c r="F38" i="9"/>
  <c r="F39" i="9" s="1"/>
  <c r="F40" i="9"/>
  <c r="F44" i="9" s="1"/>
  <c r="D43" i="9"/>
  <c r="D48" i="9" s="1"/>
  <c r="E61" i="9"/>
  <c r="E62" i="9"/>
  <c r="E57" i="9"/>
  <c r="E58" i="9" s="1"/>
  <c r="E59" i="9" s="1"/>
  <c r="E64" i="9" s="1"/>
  <c r="G52" i="9"/>
  <c r="F54" i="9"/>
  <c r="F55" i="9" s="1"/>
  <c r="F56" i="9"/>
  <c r="F60" i="9" s="1"/>
  <c r="E77" i="9"/>
  <c r="E78" i="9"/>
  <c r="E73" i="9"/>
  <c r="E74" i="9" s="1"/>
  <c r="E75" i="9" s="1"/>
  <c r="G68" i="9"/>
  <c r="F70" i="9"/>
  <c r="F71" i="9" s="1"/>
  <c r="F72" i="9"/>
  <c r="F76" i="9" s="1"/>
  <c r="D80" i="9"/>
  <c r="E93" i="9"/>
  <c r="E94" i="9"/>
  <c r="E89" i="9"/>
  <c r="E90" i="9" s="1"/>
  <c r="E91" i="9" s="1"/>
  <c r="G84" i="9"/>
  <c r="F86" i="9"/>
  <c r="F87" i="9" s="1"/>
  <c r="F88" i="9"/>
  <c r="F92" i="9" s="1"/>
  <c r="D96" i="9"/>
  <c r="E109" i="9"/>
  <c r="E110" i="9"/>
  <c r="E105" i="9"/>
  <c r="E106" i="9" s="1"/>
  <c r="E107" i="9" s="1"/>
  <c r="G100" i="9"/>
  <c r="F102" i="9"/>
  <c r="F103" i="9" s="1"/>
  <c r="F104" i="9"/>
  <c r="F108" i="9" s="1"/>
  <c r="D112" i="9"/>
  <c r="F189" i="9"/>
  <c r="F190" i="9"/>
  <c r="F185" i="9"/>
  <c r="F186" i="9" s="1"/>
  <c r="F187" i="9" s="1"/>
  <c r="H180" i="9"/>
  <c r="G182" i="9"/>
  <c r="G183" i="9" s="1"/>
  <c r="G184" i="9"/>
  <c r="G188" i="9" s="1"/>
  <c r="E192" i="9"/>
  <c r="F173" i="9"/>
  <c r="F174" i="9"/>
  <c r="F169" i="9"/>
  <c r="F170" i="9" s="1"/>
  <c r="F171" i="9" s="1"/>
  <c r="H164" i="9"/>
  <c r="G166" i="9"/>
  <c r="G167" i="9" s="1"/>
  <c r="G168" i="9"/>
  <c r="G172" i="9" s="1"/>
  <c r="E176" i="9"/>
  <c r="F157" i="9"/>
  <c r="F158" i="9"/>
  <c r="F153" i="9"/>
  <c r="F154" i="9" s="1"/>
  <c r="F155" i="9" s="1"/>
  <c r="H148" i="9"/>
  <c r="G150" i="9"/>
  <c r="G151" i="9" s="1"/>
  <c r="G152" i="9"/>
  <c r="G156" i="9" s="1"/>
  <c r="E160" i="9"/>
  <c r="F141" i="9"/>
  <c r="F142" i="9"/>
  <c r="F137" i="9"/>
  <c r="F138" i="9" s="1"/>
  <c r="F139" i="9" s="1"/>
  <c r="F144" i="9" s="1"/>
  <c r="H132" i="9"/>
  <c r="G134" i="9"/>
  <c r="G135" i="9" s="1"/>
  <c r="G136" i="9"/>
  <c r="G140" i="9" s="1"/>
  <c r="D128" i="9"/>
  <c r="F125" i="9"/>
  <c r="F126" i="9"/>
  <c r="F121" i="9"/>
  <c r="F122" i="9" s="1"/>
  <c r="F123" i="9" s="1"/>
  <c r="F128" i="9" s="1"/>
  <c r="H116" i="9"/>
  <c r="G118" i="9"/>
  <c r="G119" i="9" s="1"/>
  <c r="G120" i="9"/>
  <c r="G124" i="9" s="1"/>
  <c r="E123" i="9"/>
  <c r="E128" i="9" s="1"/>
  <c r="E288" i="9"/>
  <c r="G285" i="9"/>
  <c r="G286" i="9"/>
  <c r="G281" i="9"/>
  <c r="G282" i="9" s="1"/>
  <c r="G283" i="9" s="1"/>
  <c r="G288" i="9" s="1"/>
  <c r="I276" i="9"/>
  <c r="H278" i="9"/>
  <c r="H279" i="9" s="1"/>
  <c r="H280" i="9"/>
  <c r="H284" i="9" s="1"/>
  <c r="F283" i="9"/>
  <c r="F288" i="9" s="1"/>
  <c r="G301" i="9"/>
  <c r="G302" i="9"/>
  <c r="G297" i="9"/>
  <c r="G298" i="9" s="1"/>
  <c r="G299" i="9" s="1"/>
  <c r="G304" i="9" s="1"/>
  <c r="I292" i="9"/>
  <c r="H294" i="9"/>
  <c r="H295" i="9" s="1"/>
  <c r="H296" i="9"/>
  <c r="H300" i="9" s="1"/>
  <c r="G317" i="9"/>
  <c r="G318" i="9"/>
  <c r="G313" i="9"/>
  <c r="G314" i="9" s="1"/>
  <c r="G315" i="9" s="1"/>
  <c r="I308" i="9"/>
  <c r="H310" i="9"/>
  <c r="H311" i="9" s="1"/>
  <c r="H312" i="9"/>
  <c r="H316" i="9" s="1"/>
  <c r="F320" i="9"/>
  <c r="G333" i="9"/>
  <c r="G334" i="9"/>
  <c r="G329" i="9"/>
  <c r="G330" i="9" s="1"/>
  <c r="G331" i="9" s="1"/>
  <c r="I324" i="9"/>
  <c r="H326" i="9"/>
  <c r="H327" i="9" s="1"/>
  <c r="H328" i="9"/>
  <c r="H332" i="9" s="1"/>
  <c r="F336" i="9"/>
  <c r="G349" i="9"/>
  <c r="G350" i="9"/>
  <c r="G345" i="9"/>
  <c r="G346" i="9" s="1"/>
  <c r="G347" i="9" s="1"/>
  <c r="I340" i="9"/>
  <c r="H342" i="9"/>
  <c r="H343" i="9" s="1"/>
  <c r="H344" i="9"/>
  <c r="H348" i="9" s="1"/>
  <c r="F352" i="9"/>
  <c r="E368" i="9"/>
  <c r="G365" i="9"/>
  <c r="G366" i="9"/>
  <c r="G361" i="9"/>
  <c r="G362" i="9" s="1"/>
  <c r="G363" i="9" s="1"/>
  <c r="G368" i="9" s="1"/>
  <c r="I356" i="9"/>
  <c r="H358" i="9"/>
  <c r="H359" i="9" s="1"/>
  <c r="H360" i="9"/>
  <c r="H364" i="9" s="1"/>
  <c r="F363" i="9"/>
  <c r="F368" i="9" s="1"/>
  <c r="G381" i="9"/>
  <c r="G382" i="9"/>
  <c r="G377" i="9"/>
  <c r="G378" i="9" s="1"/>
  <c r="G379" i="9" s="1"/>
  <c r="G384" i="9" s="1"/>
  <c r="I372" i="9"/>
  <c r="H374" i="9"/>
  <c r="H375" i="9" s="1"/>
  <c r="H376" i="9"/>
  <c r="H380" i="9" s="1"/>
  <c r="G397" i="9"/>
  <c r="G398" i="9"/>
  <c r="G393" i="9"/>
  <c r="G394" i="9" s="1"/>
  <c r="G395" i="9" s="1"/>
  <c r="I388" i="9"/>
  <c r="H390" i="9"/>
  <c r="H391" i="9" s="1"/>
  <c r="H392" i="9"/>
  <c r="H396" i="9" s="1"/>
  <c r="F400" i="9"/>
  <c r="G413" i="9"/>
  <c r="G414" i="9"/>
  <c r="G409" i="9"/>
  <c r="G410" i="9" s="1"/>
  <c r="G411" i="9" s="1"/>
  <c r="I404" i="9"/>
  <c r="H406" i="9"/>
  <c r="H407" i="9" s="1"/>
  <c r="H408" i="9"/>
  <c r="H412" i="9" s="1"/>
  <c r="F416" i="9"/>
  <c r="G429" i="9"/>
  <c r="G430" i="9"/>
  <c r="G425" i="9"/>
  <c r="G426" i="9" s="1"/>
  <c r="G427" i="9" s="1"/>
  <c r="I420" i="9"/>
  <c r="H422" i="9"/>
  <c r="H423" i="9" s="1"/>
  <c r="H424" i="9"/>
  <c r="H428" i="9" s="1"/>
  <c r="F432" i="9"/>
  <c r="I43" i="5"/>
  <c r="I47" i="3" s="1"/>
  <c r="I47" i="5"/>
  <c r="I75" i="5"/>
  <c r="I88" i="5"/>
  <c r="I116" i="5" s="1"/>
  <c r="I10" i="8"/>
  <c r="I108" i="5"/>
  <c r="I115" i="5"/>
  <c r="I114" i="5"/>
  <c r="I112" i="5"/>
  <c r="I111" i="5"/>
  <c r="K21" i="5"/>
  <c r="K29" i="5"/>
  <c r="K30" i="5"/>
  <c r="K40" i="5"/>
  <c r="K33" i="5"/>
  <c r="K34" i="5" s="1"/>
  <c r="L35" i="5"/>
  <c r="L28" i="5"/>
  <c r="L19" i="5"/>
  <c r="L20" i="5"/>
  <c r="J73" i="5"/>
  <c r="J74" i="5"/>
  <c r="J76" i="5"/>
  <c r="J78" i="5"/>
  <c r="J80" i="5"/>
  <c r="J83" i="5"/>
  <c r="J89" i="5"/>
  <c r="J117" i="5" s="1"/>
  <c r="J90" i="5"/>
  <c r="J118" i="5" s="1"/>
  <c r="J91" i="5"/>
  <c r="J93" i="5"/>
  <c r="J119" i="5" s="1"/>
  <c r="J109" i="5"/>
  <c r="J96" i="5" s="1"/>
  <c r="J122" i="5"/>
  <c r="J82" i="5" s="1"/>
  <c r="J137" i="5"/>
  <c r="J44" i="5"/>
  <c r="J45" i="5"/>
  <c r="J46" i="5"/>
  <c r="J59" i="5"/>
  <c r="J61" i="5" s="1"/>
  <c r="J41" i="5"/>
  <c r="J42" i="5"/>
  <c r="I113" i="5"/>
  <c r="I144" i="5" s="1"/>
  <c r="I12" i="8" s="1"/>
  <c r="H113" i="5"/>
  <c r="H144" i="5" s="1"/>
  <c r="H12" i="8" s="1"/>
  <c r="H7" i="8"/>
  <c r="H9" i="8" s="1"/>
  <c r="H143" i="5"/>
  <c r="H62" i="5"/>
  <c r="C128" i="5"/>
  <c r="C97" i="5" s="1"/>
  <c r="C100" i="5" s="1"/>
  <c r="C102" i="5" s="1"/>
  <c r="C68" i="5"/>
  <c r="C69" i="5" s="1"/>
  <c r="C77" i="5"/>
  <c r="C85" i="5" s="1"/>
  <c r="D131" i="5"/>
  <c r="D49" i="5"/>
  <c r="D50" i="5" s="1"/>
  <c r="C94" i="5"/>
  <c r="C103" i="5" s="1"/>
  <c r="C125" i="5"/>
  <c r="C129" i="5" s="1"/>
  <c r="C130" i="5" s="1"/>
  <c r="C132" i="5" s="1"/>
  <c r="C133" i="5" s="1"/>
  <c r="C7" i="12" s="1"/>
  <c r="H429" i="9" l="1"/>
  <c r="H430" i="9"/>
  <c r="H425" i="9"/>
  <c r="H426" i="9" s="1"/>
  <c r="H427" i="9" s="1"/>
  <c r="J420" i="9"/>
  <c r="I422" i="9"/>
  <c r="I423" i="9" s="1"/>
  <c r="I424" i="9"/>
  <c r="I428" i="9" s="1"/>
  <c r="G432" i="9"/>
  <c r="H413" i="9"/>
  <c r="H414" i="9"/>
  <c r="H409" i="9"/>
  <c r="H410" i="9" s="1"/>
  <c r="H411" i="9" s="1"/>
  <c r="J404" i="9"/>
  <c r="I406" i="9"/>
  <c r="I407" i="9" s="1"/>
  <c r="I408" i="9"/>
  <c r="I412" i="9" s="1"/>
  <c r="G416" i="9"/>
  <c r="H397" i="9"/>
  <c r="H398" i="9"/>
  <c r="H393" i="9"/>
  <c r="H394" i="9" s="1"/>
  <c r="H395" i="9" s="1"/>
  <c r="J388" i="9"/>
  <c r="I390" i="9"/>
  <c r="I391" i="9" s="1"/>
  <c r="I392" i="9"/>
  <c r="I396" i="9" s="1"/>
  <c r="G400" i="9"/>
  <c r="H381" i="9"/>
  <c r="H382" i="9"/>
  <c r="H377" i="9"/>
  <c r="H378" i="9" s="1"/>
  <c r="H379" i="9" s="1"/>
  <c r="J372" i="9"/>
  <c r="I374" i="9"/>
  <c r="I375" i="9" s="1"/>
  <c r="I376" i="9"/>
  <c r="I380" i="9" s="1"/>
  <c r="H365" i="9"/>
  <c r="H366" i="9"/>
  <c r="H361" i="9"/>
  <c r="H362" i="9" s="1"/>
  <c r="H363" i="9" s="1"/>
  <c r="J356" i="9"/>
  <c r="I358" i="9"/>
  <c r="I359" i="9" s="1"/>
  <c r="I360" i="9"/>
  <c r="I364" i="9" s="1"/>
  <c r="H349" i="9"/>
  <c r="H350" i="9"/>
  <c r="H345" i="9"/>
  <c r="H346" i="9" s="1"/>
  <c r="H347" i="9" s="1"/>
  <c r="J340" i="9"/>
  <c r="I342" i="9"/>
  <c r="I343" i="9" s="1"/>
  <c r="I344" i="9"/>
  <c r="I348" i="9" s="1"/>
  <c r="G352" i="9"/>
  <c r="H333" i="9"/>
  <c r="H334" i="9"/>
  <c r="H329" i="9"/>
  <c r="H330" i="9" s="1"/>
  <c r="H331" i="9" s="1"/>
  <c r="J324" i="9"/>
  <c r="I326" i="9"/>
  <c r="I327" i="9" s="1"/>
  <c r="I328" i="9"/>
  <c r="I332" i="9" s="1"/>
  <c r="G336" i="9"/>
  <c r="H317" i="9"/>
  <c r="H318" i="9"/>
  <c r="H313" i="9"/>
  <c r="H314" i="9" s="1"/>
  <c r="H315" i="9" s="1"/>
  <c r="J308" i="9"/>
  <c r="I310" i="9"/>
  <c r="I311" i="9" s="1"/>
  <c r="I312" i="9"/>
  <c r="I316" i="9" s="1"/>
  <c r="G320" i="9"/>
  <c r="H301" i="9"/>
  <c r="H302" i="9"/>
  <c r="H297" i="9"/>
  <c r="H298" i="9" s="1"/>
  <c r="H299" i="9" s="1"/>
  <c r="J292" i="9"/>
  <c r="I294" i="9"/>
  <c r="I295" i="9" s="1"/>
  <c r="I296" i="9"/>
  <c r="I300" i="9" s="1"/>
  <c r="H285" i="9"/>
  <c r="H286" i="9"/>
  <c r="H281" i="9"/>
  <c r="H282" i="9" s="1"/>
  <c r="H283" i="9" s="1"/>
  <c r="J276" i="9"/>
  <c r="I278" i="9"/>
  <c r="I279" i="9" s="1"/>
  <c r="I280" i="9"/>
  <c r="I284" i="9" s="1"/>
  <c r="G125" i="9"/>
  <c r="G126" i="9"/>
  <c r="G121" i="9"/>
  <c r="G122" i="9" s="1"/>
  <c r="G123" i="9" s="1"/>
  <c r="G128" i="9" s="1"/>
  <c r="I116" i="9"/>
  <c r="H118" i="9"/>
  <c r="H119" i="9" s="1"/>
  <c r="H120" i="9"/>
  <c r="H124" i="9" s="1"/>
  <c r="G141" i="9"/>
  <c r="G142" i="9"/>
  <c r="G137" i="9"/>
  <c r="G138" i="9" s="1"/>
  <c r="G139" i="9" s="1"/>
  <c r="G144" i="9" s="1"/>
  <c r="I132" i="9"/>
  <c r="H134" i="9"/>
  <c r="H135" i="9" s="1"/>
  <c r="H136" i="9"/>
  <c r="H140" i="9" s="1"/>
  <c r="G157" i="9"/>
  <c r="G158" i="9"/>
  <c r="G153" i="9"/>
  <c r="G154" i="9" s="1"/>
  <c r="G155" i="9" s="1"/>
  <c r="I148" i="9"/>
  <c r="H150" i="9"/>
  <c r="H151" i="9" s="1"/>
  <c r="H152" i="9"/>
  <c r="H156" i="9" s="1"/>
  <c r="F160" i="9"/>
  <c r="G173" i="9"/>
  <c r="G174" i="9"/>
  <c r="G169" i="9"/>
  <c r="G170" i="9" s="1"/>
  <c r="G171" i="9" s="1"/>
  <c r="I164" i="9"/>
  <c r="H166" i="9"/>
  <c r="H167" i="9" s="1"/>
  <c r="H168" i="9"/>
  <c r="H172" i="9" s="1"/>
  <c r="F176" i="9"/>
  <c r="G189" i="9"/>
  <c r="G190" i="9"/>
  <c r="G185" i="9"/>
  <c r="G186" i="9" s="1"/>
  <c r="G187" i="9" s="1"/>
  <c r="I180" i="9"/>
  <c r="H182" i="9"/>
  <c r="H183" i="9" s="1"/>
  <c r="H184" i="9"/>
  <c r="H188" i="9" s="1"/>
  <c r="F192" i="9"/>
  <c r="F109" i="9"/>
  <c r="F110" i="9"/>
  <c r="F105" i="9"/>
  <c r="F106" i="9" s="1"/>
  <c r="F107" i="9" s="1"/>
  <c r="H100" i="9"/>
  <c r="G102" i="9"/>
  <c r="G103" i="9" s="1"/>
  <c r="G104" i="9"/>
  <c r="G108" i="9" s="1"/>
  <c r="E112" i="9"/>
  <c r="F93" i="9"/>
  <c r="F94" i="9"/>
  <c r="F89" i="9"/>
  <c r="F90" i="9" s="1"/>
  <c r="F91" i="9" s="1"/>
  <c r="H84" i="9"/>
  <c r="G86" i="9"/>
  <c r="G87" i="9" s="1"/>
  <c r="G88" i="9"/>
  <c r="G92" i="9" s="1"/>
  <c r="E96" i="9"/>
  <c r="F77" i="9"/>
  <c r="F78" i="9"/>
  <c r="F73" i="9"/>
  <c r="F74" i="9" s="1"/>
  <c r="F75" i="9" s="1"/>
  <c r="H68" i="9"/>
  <c r="G70" i="9"/>
  <c r="G71" i="9" s="1"/>
  <c r="G72" i="9"/>
  <c r="G76" i="9" s="1"/>
  <c r="E80" i="9"/>
  <c r="F61" i="9"/>
  <c r="F62" i="9"/>
  <c r="F57" i="9"/>
  <c r="F58" i="9" s="1"/>
  <c r="F59" i="9" s="1"/>
  <c r="F64" i="9" s="1"/>
  <c r="H52" i="9"/>
  <c r="G54" i="9"/>
  <c r="G55" i="9" s="1"/>
  <c r="G56" i="9"/>
  <c r="G60" i="9" s="1"/>
  <c r="F45" i="9"/>
  <c r="F46" i="9"/>
  <c r="F41" i="9"/>
  <c r="F42" i="9" s="1"/>
  <c r="F43" i="9" s="1"/>
  <c r="F48" i="9" s="1"/>
  <c r="H36" i="9"/>
  <c r="G38" i="9"/>
  <c r="G39" i="9" s="1"/>
  <c r="G40" i="9"/>
  <c r="G44" i="9" s="1"/>
  <c r="H269" i="9"/>
  <c r="H270" i="9"/>
  <c r="H265" i="9"/>
  <c r="H266" i="9" s="1"/>
  <c r="H267" i="9" s="1"/>
  <c r="J260" i="9"/>
  <c r="I262" i="9"/>
  <c r="I263" i="9" s="1"/>
  <c r="I264" i="9"/>
  <c r="I268" i="9" s="1"/>
  <c r="G272" i="9"/>
  <c r="H253" i="9"/>
  <c r="H254" i="9"/>
  <c r="H249" i="9"/>
  <c r="H250" i="9" s="1"/>
  <c r="H251" i="9" s="1"/>
  <c r="J244" i="9"/>
  <c r="I246" i="9"/>
  <c r="I247" i="9" s="1"/>
  <c r="I248" i="9"/>
  <c r="I252" i="9" s="1"/>
  <c r="G256" i="9"/>
  <c r="H237" i="9"/>
  <c r="H238" i="9"/>
  <c r="H233" i="9"/>
  <c r="H234" i="9" s="1"/>
  <c r="H235" i="9" s="1"/>
  <c r="J228" i="9"/>
  <c r="I230" i="9"/>
  <c r="I231" i="9" s="1"/>
  <c r="I232" i="9"/>
  <c r="I236" i="9" s="1"/>
  <c r="G240" i="9"/>
  <c r="H221" i="9"/>
  <c r="H222" i="9"/>
  <c r="H217" i="9"/>
  <c r="H218" i="9" s="1"/>
  <c r="H219" i="9" s="1"/>
  <c r="J212" i="9"/>
  <c r="I214" i="9"/>
  <c r="I215" i="9" s="1"/>
  <c r="I216" i="9"/>
  <c r="I220" i="9" s="1"/>
  <c r="H205" i="9"/>
  <c r="H206" i="9"/>
  <c r="H201" i="9"/>
  <c r="H202" i="9" s="1"/>
  <c r="H203" i="9" s="1"/>
  <c r="J196" i="9"/>
  <c r="I198" i="9"/>
  <c r="I199" i="9" s="1"/>
  <c r="I200" i="9"/>
  <c r="I204" i="9" s="1"/>
  <c r="H63" i="5"/>
  <c r="H86" i="5"/>
  <c r="H124" i="5" s="1"/>
  <c r="J43" i="5"/>
  <c r="J47" i="3" s="1"/>
  <c r="J47" i="5"/>
  <c r="J75" i="5"/>
  <c r="J88" i="5"/>
  <c r="J116" i="5" s="1"/>
  <c r="J10" i="8"/>
  <c r="J108" i="5"/>
  <c r="J115" i="5"/>
  <c r="J114" i="5"/>
  <c r="J112" i="5"/>
  <c r="J111" i="5"/>
  <c r="L21" i="5"/>
  <c r="L29" i="5"/>
  <c r="L30" i="5"/>
  <c r="L40" i="5"/>
  <c r="L33" i="5"/>
  <c r="L34" i="5" s="1"/>
  <c r="K73" i="5"/>
  <c r="K74" i="5"/>
  <c r="K76" i="5"/>
  <c r="K78" i="5"/>
  <c r="K80" i="5"/>
  <c r="K83" i="5"/>
  <c r="K89" i="5"/>
  <c r="K117" i="5" s="1"/>
  <c r="K90" i="5"/>
  <c r="K118" i="5" s="1"/>
  <c r="K91" i="5"/>
  <c r="K93" i="5"/>
  <c r="K119" i="5" s="1"/>
  <c r="K109" i="5"/>
  <c r="K96" i="5" s="1"/>
  <c r="K122" i="5"/>
  <c r="K82" i="5" s="1"/>
  <c r="K137" i="5"/>
  <c r="K44" i="5"/>
  <c r="K45" i="5"/>
  <c r="K46" i="5"/>
  <c r="K59" i="5"/>
  <c r="K61" i="5" s="1"/>
  <c r="K41" i="5"/>
  <c r="K42" i="5"/>
  <c r="J113" i="5"/>
  <c r="J144" i="5" s="1"/>
  <c r="J12" i="8" s="1"/>
  <c r="I7" i="8"/>
  <c r="I9" i="8" s="1"/>
  <c r="I143" i="5"/>
  <c r="I62" i="5"/>
  <c r="D66" i="5"/>
  <c r="C55" i="5"/>
  <c r="C56" i="5" s="1"/>
  <c r="C57" i="5" s="1"/>
  <c r="D51" i="5"/>
  <c r="D52" i="5"/>
  <c r="C104" i="5"/>
  <c r="C6" i="12" s="1"/>
  <c r="I205" i="9" l="1"/>
  <c r="I206" i="9"/>
  <c r="I201" i="9"/>
  <c r="I202" i="9" s="1"/>
  <c r="I203" i="9" s="1"/>
  <c r="K196" i="9"/>
  <c r="J198" i="9"/>
  <c r="J199" i="9" s="1"/>
  <c r="J200" i="9"/>
  <c r="J204" i="9" s="1"/>
  <c r="I221" i="9"/>
  <c r="I222" i="9"/>
  <c r="I217" i="9"/>
  <c r="I218" i="9" s="1"/>
  <c r="I219" i="9" s="1"/>
  <c r="K212" i="9"/>
  <c r="J214" i="9"/>
  <c r="J215" i="9" s="1"/>
  <c r="J216" i="9"/>
  <c r="J220" i="9" s="1"/>
  <c r="I237" i="9"/>
  <c r="I238" i="9"/>
  <c r="I233" i="9"/>
  <c r="I234" i="9" s="1"/>
  <c r="I235" i="9" s="1"/>
  <c r="K228" i="9"/>
  <c r="J230" i="9"/>
  <c r="J231" i="9" s="1"/>
  <c r="J232" i="9"/>
  <c r="J236" i="9" s="1"/>
  <c r="I253" i="9"/>
  <c r="I254" i="9"/>
  <c r="I249" i="9"/>
  <c r="I250" i="9" s="1"/>
  <c r="I251" i="9" s="1"/>
  <c r="K244" i="9"/>
  <c r="J246" i="9"/>
  <c r="J247" i="9" s="1"/>
  <c r="J248" i="9"/>
  <c r="J252" i="9" s="1"/>
  <c r="I269" i="9"/>
  <c r="I270" i="9"/>
  <c r="I265" i="9"/>
  <c r="I266" i="9" s="1"/>
  <c r="I267" i="9" s="1"/>
  <c r="K260" i="9"/>
  <c r="J262" i="9"/>
  <c r="J263" i="9" s="1"/>
  <c r="J264" i="9"/>
  <c r="J268" i="9" s="1"/>
  <c r="G45" i="9"/>
  <c r="G46" i="9"/>
  <c r="G41" i="9"/>
  <c r="G42" i="9" s="1"/>
  <c r="G43" i="9" s="1"/>
  <c r="G48" i="9" s="1"/>
  <c r="I36" i="9"/>
  <c r="H38" i="9"/>
  <c r="H39" i="9" s="1"/>
  <c r="H40" i="9"/>
  <c r="H44" i="9" s="1"/>
  <c r="G61" i="9"/>
  <c r="G62" i="9"/>
  <c r="G57" i="9"/>
  <c r="G58" i="9" s="1"/>
  <c r="G59" i="9" s="1"/>
  <c r="G64" i="9" s="1"/>
  <c r="I52" i="9"/>
  <c r="H54" i="9"/>
  <c r="H55" i="9" s="1"/>
  <c r="H56" i="9"/>
  <c r="H60" i="9" s="1"/>
  <c r="G77" i="9"/>
  <c r="G78" i="9"/>
  <c r="G73" i="9"/>
  <c r="G74" i="9" s="1"/>
  <c r="G75" i="9" s="1"/>
  <c r="I68" i="9"/>
  <c r="H70" i="9"/>
  <c r="H71" i="9" s="1"/>
  <c r="H72" i="9"/>
  <c r="H76" i="9" s="1"/>
  <c r="F80" i="9"/>
  <c r="G93" i="9"/>
  <c r="G94" i="9"/>
  <c r="G89" i="9"/>
  <c r="G90" i="9" s="1"/>
  <c r="G91" i="9" s="1"/>
  <c r="I84" i="9"/>
  <c r="H86" i="9"/>
  <c r="H87" i="9" s="1"/>
  <c r="H88" i="9"/>
  <c r="H92" i="9" s="1"/>
  <c r="F96" i="9"/>
  <c r="G109" i="9"/>
  <c r="G110" i="9"/>
  <c r="G105" i="9"/>
  <c r="G106" i="9" s="1"/>
  <c r="G107" i="9" s="1"/>
  <c r="I100" i="9"/>
  <c r="H102" i="9"/>
  <c r="H103" i="9" s="1"/>
  <c r="H104" i="9"/>
  <c r="H108" i="9" s="1"/>
  <c r="F112" i="9"/>
  <c r="H189" i="9"/>
  <c r="H190" i="9"/>
  <c r="H185" i="9"/>
  <c r="H186" i="9" s="1"/>
  <c r="H187" i="9" s="1"/>
  <c r="J180" i="9"/>
  <c r="I182" i="9"/>
  <c r="I183" i="9" s="1"/>
  <c r="I184" i="9"/>
  <c r="I188" i="9" s="1"/>
  <c r="G192" i="9"/>
  <c r="H173" i="9"/>
  <c r="H174" i="9"/>
  <c r="H169" i="9"/>
  <c r="H170" i="9" s="1"/>
  <c r="H171" i="9" s="1"/>
  <c r="J164" i="9"/>
  <c r="I166" i="9"/>
  <c r="I167" i="9" s="1"/>
  <c r="I168" i="9"/>
  <c r="I172" i="9" s="1"/>
  <c r="G176" i="9"/>
  <c r="H157" i="9"/>
  <c r="H158" i="9"/>
  <c r="H153" i="9"/>
  <c r="H154" i="9" s="1"/>
  <c r="H155" i="9" s="1"/>
  <c r="J148" i="9"/>
  <c r="I150" i="9"/>
  <c r="I151" i="9" s="1"/>
  <c r="I152" i="9"/>
  <c r="I156" i="9" s="1"/>
  <c r="G160" i="9"/>
  <c r="H141" i="9"/>
  <c r="H142" i="9"/>
  <c r="H137" i="9"/>
  <c r="H138" i="9" s="1"/>
  <c r="H139" i="9" s="1"/>
  <c r="J132" i="9"/>
  <c r="I134" i="9"/>
  <c r="I135" i="9" s="1"/>
  <c r="I136" i="9"/>
  <c r="I140" i="9" s="1"/>
  <c r="H125" i="9"/>
  <c r="H126" i="9"/>
  <c r="H121" i="9"/>
  <c r="H122" i="9" s="1"/>
  <c r="H123" i="9" s="1"/>
  <c r="J116" i="9"/>
  <c r="I118" i="9"/>
  <c r="I119" i="9" s="1"/>
  <c r="I120" i="9"/>
  <c r="I124" i="9" s="1"/>
  <c r="I285" i="9"/>
  <c r="I286" i="9"/>
  <c r="I281" i="9"/>
  <c r="I282" i="9" s="1"/>
  <c r="I283" i="9" s="1"/>
  <c r="K276" i="9"/>
  <c r="J278" i="9"/>
  <c r="J279" i="9" s="1"/>
  <c r="J280" i="9"/>
  <c r="J284" i="9" s="1"/>
  <c r="I301" i="9"/>
  <c r="I302" i="9"/>
  <c r="I297" i="9"/>
  <c r="I298" i="9" s="1"/>
  <c r="I299" i="9" s="1"/>
  <c r="K292" i="9"/>
  <c r="J294" i="9"/>
  <c r="J295" i="9" s="1"/>
  <c r="J296" i="9"/>
  <c r="J300" i="9" s="1"/>
  <c r="I317" i="9"/>
  <c r="I318" i="9"/>
  <c r="I313" i="9"/>
  <c r="I314" i="9" s="1"/>
  <c r="I315" i="9" s="1"/>
  <c r="K308" i="9"/>
  <c r="J310" i="9"/>
  <c r="J311" i="9" s="1"/>
  <c r="J312" i="9"/>
  <c r="J316" i="9" s="1"/>
  <c r="I333" i="9"/>
  <c r="I334" i="9"/>
  <c r="I329" i="9"/>
  <c r="I330" i="9" s="1"/>
  <c r="I331" i="9" s="1"/>
  <c r="K324" i="9"/>
  <c r="J326" i="9"/>
  <c r="J327" i="9" s="1"/>
  <c r="J328" i="9"/>
  <c r="J332" i="9" s="1"/>
  <c r="I349" i="9"/>
  <c r="I350" i="9"/>
  <c r="I345" i="9"/>
  <c r="I346" i="9" s="1"/>
  <c r="I347" i="9" s="1"/>
  <c r="K340" i="9"/>
  <c r="J342" i="9"/>
  <c r="J343" i="9" s="1"/>
  <c r="J344" i="9"/>
  <c r="J348" i="9" s="1"/>
  <c r="I365" i="9"/>
  <c r="I366" i="9"/>
  <c r="I361" i="9"/>
  <c r="I362" i="9" s="1"/>
  <c r="I363" i="9" s="1"/>
  <c r="K356" i="9"/>
  <c r="J358" i="9"/>
  <c r="J359" i="9" s="1"/>
  <c r="J360" i="9"/>
  <c r="J364" i="9" s="1"/>
  <c r="I381" i="9"/>
  <c r="I382" i="9"/>
  <c r="I377" i="9"/>
  <c r="I378" i="9" s="1"/>
  <c r="I379" i="9" s="1"/>
  <c r="K372" i="9"/>
  <c r="J374" i="9"/>
  <c r="J375" i="9" s="1"/>
  <c r="J376" i="9"/>
  <c r="J380" i="9" s="1"/>
  <c r="I397" i="9"/>
  <c r="I398" i="9"/>
  <c r="I393" i="9"/>
  <c r="I394" i="9" s="1"/>
  <c r="I395" i="9" s="1"/>
  <c r="K388" i="9"/>
  <c r="J390" i="9"/>
  <c r="J391" i="9" s="1"/>
  <c r="J392" i="9"/>
  <c r="J396" i="9" s="1"/>
  <c r="I413" i="9"/>
  <c r="I414" i="9"/>
  <c r="I409" i="9"/>
  <c r="I410" i="9" s="1"/>
  <c r="I411" i="9" s="1"/>
  <c r="K404" i="9"/>
  <c r="J406" i="9"/>
  <c r="J407" i="9" s="1"/>
  <c r="J408" i="9"/>
  <c r="J412" i="9" s="1"/>
  <c r="I429" i="9"/>
  <c r="I430" i="9"/>
  <c r="I425" i="9"/>
  <c r="I426" i="9" s="1"/>
  <c r="I427" i="9" s="1"/>
  <c r="K420" i="9"/>
  <c r="J422" i="9"/>
  <c r="J423" i="9" s="1"/>
  <c r="J424" i="9"/>
  <c r="J428" i="9" s="1"/>
  <c r="I63" i="5"/>
  <c r="I86" i="5"/>
  <c r="I124" i="5" s="1"/>
  <c r="K43" i="5"/>
  <c r="K47" i="3" s="1"/>
  <c r="K47" i="5"/>
  <c r="K75" i="5"/>
  <c r="K88" i="5"/>
  <c r="K116" i="5" s="1"/>
  <c r="K10" i="8"/>
  <c r="K108" i="5"/>
  <c r="K115" i="5"/>
  <c r="K114" i="5"/>
  <c r="K112" i="5"/>
  <c r="K111" i="5"/>
  <c r="L73" i="5"/>
  <c r="L111" i="5" s="1"/>
  <c r="L74" i="5"/>
  <c r="L112" i="5" s="1"/>
  <c r="L76" i="5"/>
  <c r="L114" i="5" s="1"/>
  <c r="L78" i="5"/>
  <c r="L115" i="5" s="1"/>
  <c r="L80" i="5"/>
  <c r="L83" i="5"/>
  <c r="L89" i="5"/>
  <c r="L117" i="5" s="1"/>
  <c r="L90" i="5"/>
  <c r="L118" i="5" s="1"/>
  <c r="L91" i="5"/>
  <c r="L93" i="5"/>
  <c r="L119" i="5" s="1"/>
  <c r="L109" i="5"/>
  <c r="L96" i="5" s="1"/>
  <c r="L122" i="5"/>
  <c r="L82" i="5" s="1"/>
  <c r="L137" i="5"/>
  <c r="L44" i="5"/>
  <c r="L45" i="5"/>
  <c r="L46" i="5"/>
  <c r="L59" i="5"/>
  <c r="L61" i="5" s="1"/>
  <c r="L41" i="5"/>
  <c r="L42" i="5"/>
  <c r="K113" i="5"/>
  <c r="K144" i="5" s="1"/>
  <c r="K12" i="8" s="1"/>
  <c r="J7" i="8"/>
  <c r="J9" i="8" s="1"/>
  <c r="J143" i="5"/>
  <c r="J62" i="5"/>
  <c r="D126" i="5"/>
  <c r="D67" i="5"/>
  <c r="D107" i="5"/>
  <c r="D120" i="5" s="1"/>
  <c r="D53" i="5"/>
  <c r="D54" i="5"/>
  <c r="J429" i="9" l="1"/>
  <c r="J430" i="9"/>
  <c r="J425" i="9"/>
  <c r="J426" i="9" s="1"/>
  <c r="J427" i="9" s="1"/>
  <c r="L420" i="9"/>
  <c r="K422" i="9"/>
  <c r="K423" i="9" s="1"/>
  <c r="K424" i="9"/>
  <c r="K428" i="9" s="1"/>
  <c r="J413" i="9"/>
  <c r="J414" i="9"/>
  <c r="J409" i="9"/>
  <c r="J410" i="9" s="1"/>
  <c r="J411" i="9" s="1"/>
  <c r="L404" i="9"/>
  <c r="K406" i="9"/>
  <c r="K407" i="9" s="1"/>
  <c r="K408" i="9"/>
  <c r="K412" i="9" s="1"/>
  <c r="J397" i="9"/>
  <c r="J398" i="9"/>
  <c r="J393" i="9"/>
  <c r="J394" i="9" s="1"/>
  <c r="J395" i="9" s="1"/>
  <c r="L388" i="9"/>
  <c r="K390" i="9"/>
  <c r="K391" i="9" s="1"/>
  <c r="K392" i="9"/>
  <c r="K396" i="9" s="1"/>
  <c r="J381" i="9"/>
  <c r="J382" i="9"/>
  <c r="J377" i="9"/>
  <c r="J378" i="9" s="1"/>
  <c r="J379" i="9" s="1"/>
  <c r="L372" i="9"/>
  <c r="K374" i="9"/>
  <c r="K375" i="9" s="1"/>
  <c r="K376" i="9"/>
  <c r="K380" i="9" s="1"/>
  <c r="J365" i="9"/>
  <c r="J366" i="9"/>
  <c r="J361" i="9"/>
  <c r="J362" i="9" s="1"/>
  <c r="J363" i="9" s="1"/>
  <c r="L356" i="9"/>
  <c r="K358" i="9"/>
  <c r="K359" i="9" s="1"/>
  <c r="K360" i="9"/>
  <c r="K364" i="9" s="1"/>
  <c r="J349" i="9"/>
  <c r="J350" i="9"/>
  <c r="J345" i="9"/>
  <c r="J346" i="9" s="1"/>
  <c r="J347" i="9" s="1"/>
  <c r="L340" i="9"/>
  <c r="K342" i="9"/>
  <c r="K343" i="9" s="1"/>
  <c r="K344" i="9"/>
  <c r="K348" i="9" s="1"/>
  <c r="J333" i="9"/>
  <c r="J334" i="9"/>
  <c r="J329" i="9"/>
  <c r="J330" i="9" s="1"/>
  <c r="J331" i="9" s="1"/>
  <c r="L324" i="9"/>
  <c r="K326" i="9"/>
  <c r="K327" i="9" s="1"/>
  <c r="K328" i="9"/>
  <c r="K332" i="9" s="1"/>
  <c r="J317" i="9"/>
  <c r="J318" i="9"/>
  <c r="J313" i="9"/>
  <c r="J314" i="9" s="1"/>
  <c r="J315" i="9" s="1"/>
  <c r="L308" i="9"/>
  <c r="K310" i="9"/>
  <c r="K311" i="9" s="1"/>
  <c r="K312" i="9"/>
  <c r="K316" i="9" s="1"/>
  <c r="J301" i="9"/>
  <c r="J302" i="9"/>
  <c r="J297" i="9"/>
  <c r="J298" i="9" s="1"/>
  <c r="J299" i="9" s="1"/>
  <c r="L292" i="9"/>
  <c r="K294" i="9"/>
  <c r="K295" i="9" s="1"/>
  <c r="K296" i="9"/>
  <c r="K300" i="9" s="1"/>
  <c r="J285" i="9"/>
  <c r="J286" i="9"/>
  <c r="J281" i="9"/>
  <c r="J282" i="9" s="1"/>
  <c r="J283" i="9" s="1"/>
  <c r="L276" i="9"/>
  <c r="K278" i="9"/>
  <c r="K279" i="9" s="1"/>
  <c r="K280" i="9"/>
  <c r="K284" i="9" s="1"/>
  <c r="I125" i="9"/>
  <c r="I126" i="9"/>
  <c r="I121" i="9"/>
  <c r="I122" i="9" s="1"/>
  <c r="I123" i="9" s="1"/>
  <c r="K116" i="9"/>
  <c r="J118" i="9"/>
  <c r="J119" i="9" s="1"/>
  <c r="J120" i="9"/>
  <c r="J124" i="9" s="1"/>
  <c r="I141" i="9"/>
  <c r="I142" i="9"/>
  <c r="I137" i="9"/>
  <c r="I138" i="9" s="1"/>
  <c r="I139" i="9" s="1"/>
  <c r="K132" i="9"/>
  <c r="J134" i="9"/>
  <c r="J135" i="9" s="1"/>
  <c r="J136" i="9"/>
  <c r="J140" i="9" s="1"/>
  <c r="I157" i="9"/>
  <c r="I158" i="9"/>
  <c r="I153" i="9"/>
  <c r="I154" i="9" s="1"/>
  <c r="I155" i="9" s="1"/>
  <c r="K148" i="9"/>
  <c r="J150" i="9"/>
  <c r="J151" i="9" s="1"/>
  <c r="J152" i="9"/>
  <c r="J156" i="9" s="1"/>
  <c r="I173" i="9"/>
  <c r="I174" i="9"/>
  <c r="I169" i="9"/>
  <c r="I170" i="9" s="1"/>
  <c r="I171" i="9" s="1"/>
  <c r="K164" i="9"/>
  <c r="J166" i="9"/>
  <c r="J167" i="9" s="1"/>
  <c r="J168" i="9"/>
  <c r="J172" i="9" s="1"/>
  <c r="I189" i="9"/>
  <c r="I190" i="9"/>
  <c r="I185" i="9"/>
  <c r="I186" i="9" s="1"/>
  <c r="I187" i="9" s="1"/>
  <c r="K180" i="9"/>
  <c r="J182" i="9"/>
  <c r="J183" i="9" s="1"/>
  <c r="J184" i="9"/>
  <c r="J188" i="9" s="1"/>
  <c r="H109" i="9"/>
  <c r="H110" i="9"/>
  <c r="H105" i="9"/>
  <c r="H106" i="9" s="1"/>
  <c r="H107" i="9" s="1"/>
  <c r="J100" i="9"/>
  <c r="I102" i="9"/>
  <c r="I103" i="9" s="1"/>
  <c r="I104" i="9"/>
  <c r="I108" i="9" s="1"/>
  <c r="G112" i="9"/>
  <c r="H93" i="9"/>
  <c r="H94" i="9"/>
  <c r="H89" i="9"/>
  <c r="H90" i="9" s="1"/>
  <c r="H91" i="9" s="1"/>
  <c r="J84" i="9"/>
  <c r="I86" i="9"/>
  <c r="I87" i="9" s="1"/>
  <c r="I88" i="9"/>
  <c r="I92" i="9" s="1"/>
  <c r="G96" i="9"/>
  <c r="H77" i="9"/>
  <c r="H78" i="9"/>
  <c r="H73" i="9"/>
  <c r="H74" i="9" s="1"/>
  <c r="H75" i="9" s="1"/>
  <c r="J68" i="9"/>
  <c r="I70" i="9"/>
  <c r="I71" i="9" s="1"/>
  <c r="I72" i="9"/>
  <c r="I76" i="9" s="1"/>
  <c r="G80" i="9"/>
  <c r="H61" i="9"/>
  <c r="H62" i="9"/>
  <c r="H57" i="9"/>
  <c r="H58" i="9" s="1"/>
  <c r="H59" i="9" s="1"/>
  <c r="J52" i="9"/>
  <c r="I54" i="9"/>
  <c r="I55" i="9" s="1"/>
  <c r="I56" i="9"/>
  <c r="I60" i="9" s="1"/>
  <c r="H45" i="9"/>
  <c r="H46" i="9"/>
  <c r="H41" i="9"/>
  <c r="H42" i="9" s="1"/>
  <c r="H43" i="9" s="1"/>
  <c r="J36" i="9"/>
  <c r="I38" i="9"/>
  <c r="I39" i="9" s="1"/>
  <c r="I40" i="9"/>
  <c r="I44" i="9" s="1"/>
  <c r="J269" i="9"/>
  <c r="J270" i="9"/>
  <c r="J265" i="9"/>
  <c r="J266" i="9" s="1"/>
  <c r="J267" i="9" s="1"/>
  <c r="L260" i="9"/>
  <c r="K262" i="9"/>
  <c r="K263" i="9" s="1"/>
  <c r="K264" i="9"/>
  <c r="K268" i="9" s="1"/>
  <c r="J253" i="9"/>
  <c r="J254" i="9"/>
  <c r="J249" i="9"/>
  <c r="J250" i="9" s="1"/>
  <c r="J251" i="9" s="1"/>
  <c r="L244" i="9"/>
  <c r="K246" i="9"/>
  <c r="K247" i="9" s="1"/>
  <c r="K248" i="9"/>
  <c r="K252" i="9" s="1"/>
  <c r="J237" i="9"/>
  <c r="J238" i="9"/>
  <c r="J233" i="9"/>
  <c r="J234" i="9" s="1"/>
  <c r="J235" i="9" s="1"/>
  <c r="L228" i="9"/>
  <c r="K230" i="9"/>
  <c r="K231" i="9" s="1"/>
  <c r="K232" i="9"/>
  <c r="K236" i="9" s="1"/>
  <c r="J221" i="9"/>
  <c r="J222" i="9"/>
  <c r="J217" i="9"/>
  <c r="J218" i="9" s="1"/>
  <c r="J219" i="9" s="1"/>
  <c r="L212" i="9"/>
  <c r="K214" i="9"/>
  <c r="K215" i="9" s="1"/>
  <c r="K216" i="9"/>
  <c r="K220" i="9" s="1"/>
  <c r="J205" i="9"/>
  <c r="J206" i="9"/>
  <c r="J201" i="9"/>
  <c r="J202" i="9" s="1"/>
  <c r="J203" i="9" s="1"/>
  <c r="L196" i="9"/>
  <c r="K198" i="9"/>
  <c r="K199" i="9" s="1"/>
  <c r="K200" i="9"/>
  <c r="K204" i="9" s="1"/>
  <c r="J63" i="5"/>
  <c r="J86" i="5"/>
  <c r="J124" i="5" s="1"/>
  <c r="L43" i="5"/>
  <c r="L47" i="3" s="1"/>
  <c r="L47" i="5"/>
  <c r="L75" i="5"/>
  <c r="L88" i="5"/>
  <c r="L116" i="5" s="1"/>
  <c r="L10" i="8"/>
  <c r="L108" i="5"/>
  <c r="L113" i="5"/>
  <c r="L144" i="5" s="1"/>
  <c r="L12" i="8" s="1"/>
  <c r="K7" i="8"/>
  <c r="K9" i="8" s="1"/>
  <c r="K143" i="5"/>
  <c r="K62" i="5"/>
  <c r="D98" i="5"/>
  <c r="D127" i="5"/>
  <c r="D101" i="5"/>
  <c r="D136" i="5"/>
  <c r="K205" i="9" l="1"/>
  <c r="K206" i="9"/>
  <c r="K201" i="9"/>
  <c r="K202" i="9" s="1"/>
  <c r="K203" i="9" s="1"/>
  <c r="L198" i="9"/>
  <c r="L199" i="9" s="1"/>
  <c r="L200" i="9"/>
  <c r="L204" i="9" s="1"/>
  <c r="K221" i="9"/>
  <c r="K222" i="9"/>
  <c r="K217" i="9"/>
  <c r="K218" i="9" s="1"/>
  <c r="K219" i="9" s="1"/>
  <c r="L214" i="9"/>
  <c r="L215" i="9" s="1"/>
  <c r="L216" i="9"/>
  <c r="L220" i="9" s="1"/>
  <c r="K237" i="9"/>
  <c r="K238" i="9"/>
  <c r="K233" i="9"/>
  <c r="K234" i="9" s="1"/>
  <c r="K235" i="9" s="1"/>
  <c r="L230" i="9"/>
  <c r="L231" i="9" s="1"/>
  <c r="L232" i="9"/>
  <c r="L236" i="9" s="1"/>
  <c r="K253" i="9"/>
  <c r="K254" i="9"/>
  <c r="K249" i="9"/>
  <c r="K250" i="9" s="1"/>
  <c r="K251" i="9" s="1"/>
  <c r="L246" i="9"/>
  <c r="L247" i="9" s="1"/>
  <c r="L248" i="9"/>
  <c r="L252" i="9" s="1"/>
  <c r="K269" i="9"/>
  <c r="K270" i="9"/>
  <c r="K265" i="9"/>
  <c r="K266" i="9" s="1"/>
  <c r="K267" i="9" s="1"/>
  <c r="L262" i="9"/>
  <c r="L263" i="9" s="1"/>
  <c r="L264" i="9"/>
  <c r="L268" i="9" s="1"/>
  <c r="I45" i="9"/>
  <c r="I46" i="9"/>
  <c r="I41" i="9"/>
  <c r="I42" i="9" s="1"/>
  <c r="I43" i="9" s="1"/>
  <c r="K36" i="9"/>
  <c r="J38" i="9"/>
  <c r="J39" i="9" s="1"/>
  <c r="J40" i="9"/>
  <c r="J44" i="9" s="1"/>
  <c r="I61" i="9"/>
  <c r="I62" i="9"/>
  <c r="I57" i="9"/>
  <c r="I58" i="9" s="1"/>
  <c r="I59" i="9" s="1"/>
  <c r="K52" i="9"/>
  <c r="J54" i="9"/>
  <c r="J55" i="9" s="1"/>
  <c r="J56" i="9"/>
  <c r="J60" i="9" s="1"/>
  <c r="I77" i="9"/>
  <c r="I78" i="9"/>
  <c r="I73" i="9"/>
  <c r="I74" i="9" s="1"/>
  <c r="I75" i="9" s="1"/>
  <c r="K68" i="9"/>
  <c r="J70" i="9"/>
  <c r="J71" i="9" s="1"/>
  <c r="J72" i="9"/>
  <c r="J76" i="9" s="1"/>
  <c r="I93" i="9"/>
  <c r="I94" i="9"/>
  <c r="I89" i="9"/>
  <c r="I90" i="9" s="1"/>
  <c r="I91" i="9" s="1"/>
  <c r="K84" i="9"/>
  <c r="J86" i="9"/>
  <c r="J87" i="9" s="1"/>
  <c r="J88" i="9"/>
  <c r="J92" i="9" s="1"/>
  <c r="I109" i="9"/>
  <c r="I110" i="9"/>
  <c r="I105" i="9"/>
  <c r="I106" i="9" s="1"/>
  <c r="I107" i="9" s="1"/>
  <c r="K100" i="9"/>
  <c r="J102" i="9"/>
  <c r="J103" i="9" s="1"/>
  <c r="J104" i="9"/>
  <c r="J108" i="9" s="1"/>
  <c r="J189" i="9"/>
  <c r="J190" i="9"/>
  <c r="J185" i="9"/>
  <c r="J186" i="9" s="1"/>
  <c r="J187" i="9" s="1"/>
  <c r="L180" i="9"/>
  <c r="K182" i="9"/>
  <c r="K183" i="9" s="1"/>
  <c r="K184" i="9"/>
  <c r="K188" i="9" s="1"/>
  <c r="J173" i="9"/>
  <c r="J174" i="9"/>
  <c r="J169" i="9"/>
  <c r="J170" i="9" s="1"/>
  <c r="J171" i="9" s="1"/>
  <c r="L164" i="9"/>
  <c r="K166" i="9"/>
  <c r="K167" i="9" s="1"/>
  <c r="K168" i="9"/>
  <c r="K172" i="9" s="1"/>
  <c r="J157" i="9"/>
  <c r="J158" i="9"/>
  <c r="J153" i="9"/>
  <c r="J154" i="9" s="1"/>
  <c r="J155" i="9" s="1"/>
  <c r="L148" i="9"/>
  <c r="K150" i="9"/>
  <c r="K151" i="9" s="1"/>
  <c r="K152" i="9"/>
  <c r="K156" i="9" s="1"/>
  <c r="J141" i="9"/>
  <c r="J142" i="9"/>
  <c r="J137" i="9"/>
  <c r="J138" i="9" s="1"/>
  <c r="J139" i="9" s="1"/>
  <c r="L132" i="9"/>
  <c r="K134" i="9"/>
  <c r="K135" i="9" s="1"/>
  <c r="K136" i="9"/>
  <c r="K140" i="9" s="1"/>
  <c r="J125" i="9"/>
  <c r="J126" i="9"/>
  <c r="J121" i="9"/>
  <c r="J122" i="9" s="1"/>
  <c r="J123" i="9" s="1"/>
  <c r="L116" i="9"/>
  <c r="K118" i="9"/>
  <c r="K119" i="9" s="1"/>
  <c r="K120" i="9"/>
  <c r="K124" i="9" s="1"/>
  <c r="K285" i="9"/>
  <c r="K286" i="9"/>
  <c r="K281" i="9"/>
  <c r="K282" i="9" s="1"/>
  <c r="K283" i="9" s="1"/>
  <c r="L278" i="9"/>
  <c r="L279" i="9" s="1"/>
  <c r="L280" i="9"/>
  <c r="L284" i="9" s="1"/>
  <c r="K301" i="9"/>
  <c r="K302" i="9"/>
  <c r="K297" i="9"/>
  <c r="K298" i="9" s="1"/>
  <c r="K299" i="9" s="1"/>
  <c r="L294" i="9"/>
  <c r="L295" i="9" s="1"/>
  <c r="L296" i="9"/>
  <c r="L300" i="9" s="1"/>
  <c r="K317" i="9"/>
  <c r="K318" i="9"/>
  <c r="K313" i="9"/>
  <c r="K314" i="9" s="1"/>
  <c r="K315" i="9" s="1"/>
  <c r="L310" i="9"/>
  <c r="L311" i="9" s="1"/>
  <c r="L312" i="9"/>
  <c r="L316" i="9" s="1"/>
  <c r="K333" i="9"/>
  <c r="K334" i="9"/>
  <c r="K329" i="9"/>
  <c r="K330" i="9" s="1"/>
  <c r="K331" i="9" s="1"/>
  <c r="L326" i="9"/>
  <c r="L327" i="9" s="1"/>
  <c r="L328" i="9"/>
  <c r="L332" i="9" s="1"/>
  <c r="K349" i="9"/>
  <c r="K350" i="9"/>
  <c r="K345" i="9"/>
  <c r="K346" i="9" s="1"/>
  <c r="K347" i="9" s="1"/>
  <c r="L342" i="9"/>
  <c r="L343" i="9" s="1"/>
  <c r="L344" i="9"/>
  <c r="L348" i="9" s="1"/>
  <c r="K365" i="9"/>
  <c r="K366" i="9"/>
  <c r="K361" i="9"/>
  <c r="K362" i="9" s="1"/>
  <c r="K363" i="9" s="1"/>
  <c r="L358" i="9"/>
  <c r="L359" i="9" s="1"/>
  <c r="L360" i="9"/>
  <c r="L364" i="9" s="1"/>
  <c r="K381" i="9"/>
  <c r="K382" i="9"/>
  <c r="K377" i="9"/>
  <c r="K378" i="9" s="1"/>
  <c r="K379" i="9" s="1"/>
  <c r="L374" i="9"/>
  <c r="L375" i="9" s="1"/>
  <c r="L376" i="9"/>
  <c r="L380" i="9" s="1"/>
  <c r="K397" i="9"/>
  <c r="K398" i="9"/>
  <c r="K393" i="9"/>
  <c r="K394" i="9" s="1"/>
  <c r="K395" i="9" s="1"/>
  <c r="L390" i="9"/>
  <c r="L391" i="9" s="1"/>
  <c r="L392" i="9"/>
  <c r="L396" i="9" s="1"/>
  <c r="K413" i="9"/>
  <c r="K414" i="9"/>
  <c r="K409" i="9"/>
  <c r="K410" i="9" s="1"/>
  <c r="K411" i="9" s="1"/>
  <c r="L406" i="9"/>
  <c r="L407" i="9" s="1"/>
  <c r="L408" i="9"/>
  <c r="L412" i="9" s="1"/>
  <c r="K429" i="9"/>
  <c r="K430" i="9"/>
  <c r="K425" i="9"/>
  <c r="K426" i="9" s="1"/>
  <c r="K427" i="9" s="1"/>
  <c r="L422" i="9"/>
  <c r="L423" i="9" s="1"/>
  <c r="L424" i="9"/>
  <c r="L428" i="9" s="1"/>
  <c r="K63" i="5"/>
  <c r="K86" i="5"/>
  <c r="K124" i="5" s="1"/>
  <c r="L7" i="8"/>
  <c r="L9" i="8" s="1"/>
  <c r="L143" i="5"/>
  <c r="L62" i="5"/>
  <c r="D138" i="5"/>
  <c r="D87" i="5" s="1"/>
  <c r="D139" i="5"/>
  <c r="D140" i="5"/>
  <c r="D72" i="5" s="1"/>
  <c r="L429" i="9" l="1"/>
  <c r="L430" i="9"/>
  <c r="L425" i="9"/>
  <c r="L426" i="9" s="1"/>
  <c r="L427" i="9" s="1"/>
  <c r="L413" i="9"/>
  <c r="L414" i="9"/>
  <c r="L409" i="9"/>
  <c r="L410" i="9" s="1"/>
  <c r="L411" i="9" s="1"/>
  <c r="L397" i="9"/>
  <c r="L398" i="9"/>
  <c r="L393" i="9"/>
  <c r="L394" i="9" s="1"/>
  <c r="L395" i="9" s="1"/>
  <c r="L381" i="9"/>
  <c r="L382" i="9"/>
  <c r="L377" i="9"/>
  <c r="L378" i="9" s="1"/>
  <c r="L379" i="9" s="1"/>
  <c r="L365" i="9"/>
  <c r="L366" i="9"/>
  <c r="L361" i="9"/>
  <c r="L362" i="9" s="1"/>
  <c r="L363" i="9" s="1"/>
  <c r="L349" i="9"/>
  <c r="L350" i="9"/>
  <c r="L345" i="9"/>
  <c r="L346" i="9" s="1"/>
  <c r="L347" i="9" s="1"/>
  <c r="L333" i="9"/>
  <c r="L334" i="9"/>
  <c r="L329" i="9"/>
  <c r="L330" i="9" s="1"/>
  <c r="L331" i="9" s="1"/>
  <c r="L317" i="9"/>
  <c r="L318" i="9"/>
  <c r="L313" i="9"/>
  <c r="L314" i="9" s="1"/>
  <c r="L315" i="9" s="1"/>
  <c r="L301" i="9"/>
  <c r="L302" i="9"/>
  <c r="L297" i="9"/>
  <c r="L298" i="9" s="1"/>
  <c r="L299" i="9" s="1"/>
  <c r="L285" i="9"/>
  <c r="L286" i="9"/>
  <c r="L281" i="9"/>
  <c r="L282" i="9" s="1"/>
  <c r="L283" i="9" s="1"/>
  <c r="K125" i="9"/>
  <c r="K126" i="9"/>
  <c r="K121" i="9"/>
  <c r="K122" i="9" s="1"/>
  <c r="K123" i="9" s="1"/>
  <c r="L118" i="9"/>
  <c r="L119" i="9" s="1"/>
  <c r="L120" i="9"/>
  <c r="L124" i="9" s="1"/>
  <c r="K141" i="9"/>
  <c r="K142" i="9"/>
  <c r="K137" i="9"/>
  <c r="K138" i="9" s="1"/>
  <c r="K139" i="9" s="1"/>
  <c r="L134" i="9"/>
  <c r="L135" i="9" s="1"/>
  <c r="L136" i="9"/>
  <c r="L140" i="9" s="1"/>
  <c r="K157" i="9"/>
  <c r="K158" i="9"/>
  <c r="K153" i="9"/>
  <c r="K154" i="9" s="1"/>
  <c r="K155" i="9" s="1"/>
  <c r="L150" i="9"/>
  <c r="L151" i="9" s="1"/>
  <c r="L152" i="9"/>
  <c r="L156" i="9" s="1"/>
  <c r="K173" i="9"/>
  <c r="K174" i="9"/>
  <c r="K169" i="9"/>
  <c r="K170" i="9" s="1"/>
  <c r="K171" i="9" s="1"/>
  <c r="L166" i="9"/>
  <c r="L167" i="9" s="1"/>
  <c r="L168" i="9"/>
  <c r="L172" i="9" s="1"/>
  <c r="K189" i="9"/>
  <c r="K190" i="9"/>
  <c r="K185" i="9"/>
  <c r="K186" i="9" s="1"/>
  <c r="K187" i="9" s="1"/>
  <c r="L182" i="9"/>
  <c r="L183" i="9" s="1"/>
  <c r="L184" i="9"/>
  <c r="L188" i="9" s="1"/>
  <c r="J109" i="9"/>
  <c r="J110" i="9"/>
  <c r="J105" i="9"/>
  <c r="J106" i="9" s="1"/>
  <c r="J107" i="9" s="1"/>
  <c r="L100" i="9"/>
  <c r="K102" i="9"/>
  <c r="K103" i="9" s="1"/>
  <c r="K104" i="9"/>
  <c r="K108" i="9" s="1"/>
  <c r="J93" i="9"/>
  <c r="J94" i="9"/>
  <c r="J89" i="9"/>
  <c r="J90" i="9" s="1"/>
  <c r="J91" i="9" s="1"/>
  <c r="L84" i="9"/>
  <c r="K86" i="9"/>
  <c r="K87" i="9" s="1"/>
  <c r="K88" i="9"/>
  <c r="K92" i="9" s="1"/>
  <c r="J77" i="9"/>
  <c r="J78" i="9"/>
  <c r="J73" i="9"/>
  <c r="J74" i="9" s="1"/>
  <c r="J75" i="9" s="1"/>
  <c r="L68" i="9"/>
  <c r="K70" i="9"/>
  <c r="K71" i="9" s="1"/>
  <c r="K72" i="9"/>
  <c r="K76" i="9" s="1"/>
  <c r="J61" i="9"/>
  <c r="J62" i="9"/>
  <c r="J57" i="9"/>
  <c r="J58" i="9" s="1"/>
  <c r="J59" i="9" s="1"/>
  <c r="L52" i="9"/>
  <c r="K54" i="9"/>
  <c r="K55" i="9" s="1"/>
  <c r="K56" i="9"/>
  <c r="K60" i="9" s="1"/>
  <c r="J45" i="9"/>
  <c r="J46" i="9"/>
  <c r="J41" i="9"/>
  <c r="J42" i="9" s="1"/>
  <c r="J43" i="9" s="1"/>
  <c r="L36" i="9"/>
  <c r="K38" i="9"/>
  <c r="K39" i="9" s="1"/>
  <c r="K40" i="9"/>
  <c r="K44" i="9" s="1"/>
  <c r="L269" i="9"/>
  <c r="L270" i="9"/>
  <c r="L265" i="9"/>
  <c r="L266" i="9" s="1"/>
  <c r="L267" i="9" s="1"/>
  <c r="L253" i="9"/>
  <c r="L254" i="9"/>
  <c r="L249" i="9"/>
  <c r="L250" i="9" s="1"/>
  <c r="L251" i="9" s="1"/>
  <c r="L237" i="9"/>
  <c r="L238" i="9"/>
  <c r="L233" i="9"/>
  <c r="L234" i="9" s="1"/>
  <c r="L235" i="9" s="1"/>
  <c r="L221" i="9"/>
  <c r="L222" i="9"/>
  <c r="L217" i="9"/>
  <c r="L218" i="9" s="1"/>
  <c r="L219" i="9" s="1"/>
  <c r="L205" i="9"/>
  <c r="L206" i="9"/>
  <c r="L201" i="9"/>
  <c r="L202" i="9" s="1"/>
  <c r="L203" i="9" s="1"/>
  <c r="L63" i="5"/>
  <c r="L86" i="5"/>
  <c r="L124" i="5" s="1"/>
  <c r="L149" i="5"/>
  <c r="L121" i="5"/>
  <c r="L431" i="9"/>
  <c r="L432" i="9"/>
  <c r="L415" i="9"/>
  <c r="L416" i="9"/>
  <c r="L399" i="9"/>
  <c r="L400" i="9"/>
  <c r="L384" i="9"/>
  <c r="L351" i="9"/>
  <c r="L352" i="9"/>
  <c r="L335" i="9"/>
  <c r="L336" i="9"/>
  <c r="L319" i="9"/>
  <c r="L320" i="9"/>
  <c r="L304" i="9"/>
  <c r="L271" i="9"/>
  <c r="L272" i="9"/>
  <c r="L255" i="9"/>
  <c r="L256" i="9"/>
  <c r="L239" i="9"/>
  <c r="L240" i="9"/>
  <c r="L224" i="9"/>
  <c r="L192" i="9"/>
  <c r="L176" i="9"/>
  <c r="L160" i="9"/>
  <c r="L144" i="9"/>
  <c r="C25" i="8"/>
  <c r="C27" i="8" s="1"/>
  <c r="L128" i="9"/>
  <c r="L208" i="9"/>
  <c r="L288" i="9"/>
  <c r="L368" i="9"/>
  <c r="L223" i="9"/>
  <c r="L303" i="9"/>
  <c r="L383" i="9"/>
  <c r="L367" i="9"/>
  <c r="L287" i="9"/>
  <c r="L207" i="9"/>
  <c r="D128" i="5"/>
  <c r="D97" i="5" s="1"/>
  <c r="D100" i="5" s="1"/>
  <c r="D102" i="5" s="1"/>
  <c r="D68" i="5"/>
  <c r="D69" i="5" s="1"/>
  <c r="D77" i="5"/>
  <c r="D85" i="5" s="1"/>
  <c r="E131" i="5"/>
  <c r="E49" i="5"/>
  <c r="E50" i="5" s="1"/>
  <c r="D94" i="5"/>
  <c r="D103" i="5" s="1"/>
  <c r="D125" i="5"/>
  <c r="D129" i="5" s="1"/>
  <c r="D130" i="5" s="1"/>
  <c r="D132" i="5" s="1"/>
  <c r="D133" i="5" s="1"/>
  <c r="D7" i="12" s="1"/>
  <c r="K45" i="9" l="1"/>
  <c r="K46" i="9"/>
  <c r="K41" i="9"/>
  <c r="K42" i="9" s="1"/>
  <c r="K43" i="9" s="1"/>
  <c r="L38" i="9"/>
  <c r="L39" i="9" s="1"/>
  <c r="L40" i="9"/>
  <c r="L44" i="9" s="1"/>
  <c r="K61" i="9"/>
  <c r="K62" i="9"/>
  <c r="K57" i="9"/>
  <c r="K58" i="9" s="1"/>
  <c r="K59" i="9" s="1"/>
  <c r="L54" i="9"/>
  <c r="L55" i="9" s="1"/>
  <c r="L56" i="9"/>
  <c r="L60" i="9" s="1"/>
  <c r="K77" i="9"/>
  <c r="K78" i="9"/>
  <c r="K73" i="9"/>
  <c r="K74" i="9" s="1"/>
  <c r="K75" i="9" s="1"/>
  <c r="L70" i="9"/>
  <c r="L71" i="9" s="1"/>
  <c r="L72" i="9"/>
  <c r="L76" i="9" s="1"/>
  <c r="K93" i="9"/>
  <c r="K94" i="9"/>
  <c r="K89" i="9"/>
  <c r="K90" i="9" s="1"/>
  <c r="K91" i="9" s="1"/>
  <c r="L86" i="9"/>
  <c r="L87" i="9" s="1"/>
  <c r="L88" i="9"/>
  <c r="L92" i="9" s="1"/>
  <c r="K109" i="9"/>
  <c r="K110" i="9"/>
  <c r="K105" i="9"/>
  <c r="K106" i="9" s="1"/>
  <c r="K107" i="9" s="1"/>
  <c r="L102" i="9"/>
  <c r="L103" i="9" s="1"/>
  <c r="L104" i="9"/>
  <c r="L108" i="9" s="1"/>
  <c r="L189" i="9"/>
  <c r="L190" i="9"/>
  <c r="L185" i="9"/>
  <c r="L186" i="9" s="1"/>
  <c r="L187" i="9" s="1"/>
  <c r="L173" i="9"/>
  <c r="L174" i="9"/>
  <c r="L169" i="9"/>
  <c r="L170" i="9" s="1"/>
  <c r="L171" i="9" s="1"/>
  <c r="L157" i="9"/>
  <c r="L158" i="9"/>
  <c r="L153" i="9"/>
  <c r="L154" i="9" s="1"/>
  <c r="L155" i="9" s="1"/>
  <c r="L141" i="9"/>
  <c r="L142" i="9"/>
  <c r="L137" i="9"/>
  <c r="L138" i="9" s="1"/>
  <c r="L139" i="9" s="1"/>
  <c r="L125" i="9"/>
  <c r="L126" i="9"/>
  <c r="L121" i="9"/>
  <c r="L122" i="9" s="1"/>
  <c r="L123" i="9" s="1"/>
  <c r="H207" i="9"/>
  <c r="I207" i="9"/>
  <c r="J207" i="9"/>
  <c r="K207" i="9"/>
  <c r="H287" i="9"/>
  <c r="I287" i="9"/>
  <c r="J287" i="9"/>
  <c r="K287" i="9"/>
  <c r="H367" i="9"/>
  <c r="I367" i="9"/>
  <c r="J367" i="9"/>
  <c r="K367" i="9"/>
  <c r="H383" i="9"/>
  <c r="I383" i="9"/>
  <c r="J383" i="9"/>
  <c r="K383" i="9"/>
  <c r="H303" i="9"/>
  <c r="I303" i="9"/>
  <c r="J303" i="9"/>
  <c r="K303" i="9"/>
  <c r="H223" i="9"/>
  <c r="I223" i="9"/>
  <c r="J223" i="9"/>
  <c r="K223" i="9"/>
  <c r="H239" i="9"/>
  <c r="I239" i="9"/>
  <c r="J239" i="9"/>
  <c r="K239" i="9"/>
  <c r="H255" i="9"/>
  <c r="I255" i="9"/>
  <c r="J255" i="9"/>
  <c r="K255" i="9"/>
  <c r="H271" i="9"/>
  <c r="I271" i="9"/>
  <c r="J271" i="9"/>
  <c r="K271" i="9"/>
  <c r="H319" i="9"/>
  <c r="I319" i="9"/>
  <c r="J319" i="9"/>
  <c r="K319" i="9"/>
  <c r="H335" i="9"/>
  <c r="I335" i="9"/>
  <c r="J335" i="9"/>
  <c r="K335" i="9"/>
  <c r="H351" i="9"/>
  <c r="I351" i="9"/>
  <c r="J351" i="9"/>
  <c r="K351" i="9"/>
  <c r="H399" i="9"/>
  <c r="I399" i="9"/>
  <c r="J399" i="9"/>
  <c r="K399" i="9"/>
  <c r="H415" i="9"/>
  <c r="I415" i="9"/>
  <c r="J415" i="9"/>
  <c r="K415" i="9"/>
  <c r="H431" i="9"/>
  <c r="I431" i="9"/>
  <c r="J431" i="9"/>
  <c r="K431" i="9"/>
  <c r="L123" i="5"/>
  <c r="L145" i="5"/>
  <c r="L150" i="5"/>
  <c r="E66" i="5"/>
  <c r="D55" i="5"/>
  <c r="D56" i="5" s="1"/>
  <c r="E51" i="5"/>
  <c r="E52" i="5"/>
  <c r="D104" i="5"/>
  <c r="D6" i="12" s="1"/>
  <c r="L127" i="9" l="1"/>
  <c r="L143" i="9"/>
  <c r="L159" i="9"/>
  <c r="L175" i="9"/>
  <c r="L191" i="9"/>
  <c r="L112" i="9"/>
  <c r="L109" i="9"/>
  <c r="L110" i="9"/>
  <c r="L105" i="9"/>
  <c r="L106" i="9" s="1"/>
  <c r="L107" i="9" s="1"/>
  <c r="L96" i="9"/>
  <c r="L93" i="9"/>
  <c r="L94" i="9"/>
  <c r="L89" i="9"/>
  <c r="L90" i="9" s="1"/>
  <c r="L91" i="9" s="1"/>
  <c r="L80" i="9"/>
  <c r="L77" i="9"/>
  <c r="L78" i="9"/>
  <c r="L73" i="9"/>
  <c r="L74" i="9" s="1"/>
  <c r="L75" i="9" s="1"/>
  <c r="L64" i="9"/>
  <c r="L61" i="9"/>
  <c r="L62" i="9"/>
  <c r="L57" i="9"/>
  <c r="L58" i="9" s="1"/>
  <c r="L59" i="9" s="1"/>
  <c r="L48" i="9"/>
  <c r="L45" i="9"/>
  <c r="L46" i="9"/>
  <c r="L41" i="9"/>
  <c r="L42" i="9" s="1"/>
  <c r="L43" i="9" s="1"/>
  <c r="H54" i="3"/>
  <c r="H121" i="5" s="1"/>
  <c r="I54" i="3"/>
  <c r="I121" i="5" s="1"/>
  <c r="J54" i="3"/>
  <c r="J121" i="5" s="1"/>
  <c r="K54" i="3"/>
  <c r="K121" i="5" s="1"/>
  <c r="L54" i="3"/>
  <c r="L11" i="8"/>
  <c r="L147" i="5"/>
  <c r="L148" i="5" s="1"/>
  <c r="L146" i="5"/>
  <c r="D57" i="5"/>
  <c r="E126" i="5"/>
  <c r="E67" i="5"/>
  <c r="E107" i="5"/>
  <c r="E120" i="5" s="1"/>
  <c r="E53" i="5"/>
  <c r="E54" i="5"/>
  <c r="L47" i="9" l="1"/>
  <c r="L63" i="9"/>
  <c r="L79" i="9"/>
  <c r="L95" i="9"/>
  <c r="L111" i="9"/>
  <c r="H191" i="9"/>
  <c r="I191" i="9"/>
  <c r="J191" i="9"/>
  <c r="K191" i="9"/>
  <c r="H175" i="9"/>
  <c r="I175" i="9"/>
  <c r="J175" i="9"/>
  <c r="K175" i="9"/>
  <c r="H159" i="9"/>
  <c r="I159" i="9"/>
  <c r="J159" i="9"/>
  <c r="K159" i="9"/>
  <c r="H143" i="9"/>
  <c r="I143" i="9"/>
  <c r="J143" i="9"/>
  <c r="K143" i="9"/>
  <c r="H127" i="9"/>
  <c r="I127" i="9"/>
  <c r="J127" i="9"/>
  <c r="K127" i="9"/>
  <c r="C26" i="8"/>
  <c r="C28" i="8" s="1"/>
  <c r="L13" i="8"/>
  <c r="K123" i="5"/>
  <c r="K145" i="5"/>
  <c r="K150" i="5"/>
  <c r="J123" i="5"/>
  <c r="J145" i="5"/>
  <c r="J150" i="5"/>
  <c r="I123" i="5"/>
  <c r="I145" i="5"/>
  <c r="I150" i="5"/>
  <c r="H123" i="5"/>
  <c r="H145" i="5"/>
  <c r="H150" i="5"/>
  <c r="H79" i="5"/>
  <c r="I79" i="5" s="1"/>
  <c r="J79" i="5" s="1"/>
  <c r="K79" i="5" s="1"/>
  <c r="L79" i="5" s="1"/>
  <c r="E98" i="5"/>
  <c r="E127" i="5"/>
  <c r="E101" i="5"/>
  <c r="E136" i="5"/>
  <c r="H111" i="9" l="1"/>
  <c r="I111" i="9"/>
  <c r="J111" i="9"/>
  <c r="K111" i="9"/>
  <c r="H95" i="9"/>
  <c r="I95" i="9"/>
  <c r="J95" i="9"/>
  <c r="K95" i="9"/>
  <c r="H79" i="9"/>
  <c r="I79" i="9"/>
  <c r="J79" i="9"/>
  <c r="K79" i="9"/>
  <c r="H63" i="9"/>
  <c r="I63" i="9"/>
  <c r="J63" i="9"/>
  <c r="K63" i="9"/>
  <c r="H47" i="9"/>
  <c r="I47" i="9"/>
  <c r="J47" i="9"/>
  <c r="K47" i="9"/>
  <c r="H11" i="8"/>
  <c r="H13" i="8" s="1"/>
  <c r="H146" i="5"/>
  <c r="H147" i="5"/>
  <c r="H148" i="5" s="1"/>
  <c r="I11" i="8"/>
  <c r="I13" i="8" s="1"/>
  <c r="I147" i="5"/>
  <c r="I148" i="5" s="1"/>
  <c r="I146" i="5"/>
  <c r="J11" i="8"/>
  <c r="J13" i="8" s="1"/>
  <c r="J147" i="5"/>
  <c r="J148" i="5" s="1"/>
  <c r="J146" i="5"/>
  <c r="K11" i="8"/>
  <c r="K13" i="8" s="1"/>
  <c r="K147" i="5"/>
  <c r="K148" i="5" s="1"/>
  <c r="K146" i="5"/>
  <c r="L15" i="8"/>
  <c r="L18" i="8" s="1"/>
  <c r="C29" i="8"/>
  <c r="C30" i="8" s="1"/>
  <c r="E138" i="5"/>
  <c r="E87" i="5" s="1"/>
  <c r="E139" i="5"/>
  <c r="E140" i="5"/>
  <c r="E72" i="5" s="1"/>
  <c r="C32" i="8" l="1"/>
  <c r="C31" i="8"/>
  <c r="C36" i="8" s="1"/>
  <c r="K15" i="8"/>
  <c r="K18" i="8" s="1"/>
  <c r="K432" i="9"/>
  <c r="K416" i="9"/>
  <c r="K400" i="9"/>
  <c r="K352" i="9"/>
  <c r="K336" i="9"/>
  <c r="K320" i="9"/>
  <c r="K272" i="9"/>
  <c r="K256" i="9"/>
  <c r="K240" i="9"/>
  <c r="K192" i="9"/>
  <c r="K176" i="9"/>
  <c r="K160" i="9"/>
  <c r="K112" i="9"/>
  <c r="K96" i="9"/>
  <c r="K80" i="9"/>
  <c r="K64" i="9"/>
  <c r="K144" i="9"/>
  <c r="K224" i="9"/>
  <c r="K304" i="9"/>
  <c r="K384" i="9"/>
  <c r="K48" i="9"/>
  <c r="K128" i="9"/>
  <c r="K208" i="9"/>
  <c r="K288" i="9"/>
  <c r="K368" i="9"/>
  <c r="J15" i="8"/>
  <c r="J18" i="8" s="1"/>
  <c r="J432" i="9"/>
  <c r="J416" i="9"/>
  <c r="J400" i="9"/>
  <c r="J352" i="9"/>
  <c r="J336" i="9"/>
  <c r="J320" i="9"/>
  <c r="J272" i="9"/>
  <c r="J256" i="9"/>
  <c r="J240" i="9"/>
  <c r="J192" i="9"/>
  <c r="J176" i="9"/>
  <c r="J160" i="9"/>
  <c r="J112" i="9"/>
  <c r="J96" i="9"/>
  <c r="J80" i="9"/>
  <c r="J64" i="9"/>
  <c r="J144" i="9"/>
  <c r="J224" i="9"/>
  <c r="J304" i="9"/>
  <c r="J384" i="9"/>
  <c r="J48" i="9"/>
  <c r="J128" i="9"/>
  <c r="J208" i="9"/>
  <c r="J288" i="9"/>
  <c r="J368" i="9"/>
  <c r="I15" i="8"/>
  <c r="I18" i="8" s="1"/>
  <c r="I432" i="9"/>
  <c r="I416" i="9"/>
  <c r="I400" i="9"/>
  <c r="I352" i="9"/>
  <c r="I336" i="9"/>
  <c r="I320" i="9"/>
  <c r="I272" i="9"/>
  <c r="I256" i="9"/>
  <c r="I240" i="9"/>
  <c r="I192" i="9"/>
  <c r="I176" i="9"/>
  <c r="I160" i="9"/>
  <c r="I112" i="9"/>
  <c r="I96" i="9"/>
  <c r="I80" i="9"/>
  <c r="I64" i="9"/>
  <c r="I144" i="9"/>
  <c r="I224" i="9"/>
  <c r="I304" i="9"/>
  <c r="I384" i="9"/>
  <c r="I48" i="9"/>
  <c r="I128" i="9"/>
  <c r="I208" i="9"/>
  <c r="I288" i="9"/>
  <c r="I368" i="9"/>
  <c r="H15" i="8"/>
  <c r="H432" i="9"/>
  <c r="H416" i="9"/>
  <c r="H400" i="9"/>
  <c r="H352" i="9"/>
  <c r="H336" i="9"/>
  <c r="H320" i="9"/>
  <c r="H272" i="9"/>
  <c r="H256" i="9"/>
  <c r="H240" i="9"/>
  <c r="H192" i="9"/>
  <c r="H176" i="9"/>
  <c r="H160" i="9"/>
  <c r="H112" i="9"/>
  <c r="H96" i="9"/>
  <c r="H80" i="9"/>
  <c r="H64" i="9"/>
  <c r="H144" i="9"/>
  <c r="H224" i="9"/>
  <c r="H304" i="9"/>
  <c r="H384" i="9"/>
  <c r="H48" i="9"/>
  <c r="H128" i="9"/>
  <c r="H208" i="9"/>
  <c r="H288" i="9"/>
  <c r="H368" i="9"/>
  <c r="E128" i="5"/>
  <c r="E97" i="5" s="1"/>
  <c r="E100" i="5" s="1"/>
  <c r="E102" i="5" s="1"/>
  <c r="E68" i="5"/>
  <c r="E69" i="5" s="1"/>
  <c r="E77" i="5"/>
  <c r="E85" i="5" s="1"/>
  <c r="F131" i="5"/>
  <c r="F49" i="5"/>
  <c r="F50" i="5" s="1"/>
  <c r="E94" i="5"/>
  <c r="E103" i="5" s="1"/>
  <c r="E125" i="5"/>
  <c r="E129" i="5" s="1"/>
  <c r="E130" i="5" s="1"/>
  <c r="E132" i="5" s="1"/>
  <c r="E133" i="5" s="1"/>
  <c r="E7" i="12" s="1"/>
  <c r="H18" i="8" l="1"/>
  <c r="C35" i="8" s="1"/>
  <c r="C37" i="8" s="1"/>
  <c r="C7" i="9" a="1"/>
  <c r="C7" i="9" s="1"/>
  <c r="D7" i="9" a="1"/>
  <c r="D7" i="9" s="1"/>
  <c r="E7" i="9" a="1"/>
  <c r="E7" i="9" s="1"/>
  <c r="F7" i="9" a="1"/>
  <c r="F7" i="9" s="1"/>
  <c r="G7" i="9" a="1"/>
  <c r="G7" i="9" s="1"/>
  <c r="C8" i="9" a="1"/>
  <c r="C8" i="9" s="1"/>
  <c r="D8" i="9" a="1"/>
  <c r="D8" i="9" s="1"/>
  <c r="E8" i="9" a="1"/>
  <c r="E8" i="9" s="1"/>
  <c r="F8" i="9" a="1"/>
  <c r="F8" i="9" s="1"/>
  <c r="G8" i="9" a="1"/>
  <c r="G8" i="9" s="1"/>
  <c r="C9" i="9" a="1"/>
  <c r="C9" i="9" s="1"/>
  <c r="D9" i="9" a="1"/>
  <c r="D9" i="9" s="1"/>
  <c r="E9" i="9" a="1"/>
  <c r="E9" i="9" s="1"/>
  <c r="F9" i="9" a="1"/>
  <c r="F9" i="9" s="1"/>
  <c r="G9" i="9" a="1"/>
  <c r="G9" i="9" s="1"/>
  <c r="C10" i="9" a="1"/>
  <c r="C10" i="9" s="1"/>
  <c r="D10" i="9" a="1"/>
  <c r="D10" i="9" s="1"/>
  <c r="E10" i="9" a="1"/>
  <c r="E10" i="9" s="1"/>
  <c r="F10" i="9" a="1"/>
  <c r="F10" i="9" s="1"/>
  <c r="G10" i="9" a="1"/>
  <c r="G10" i="9" s="1"/>
  <c r="C11" i="9" a="1"/>
  <c r="C11" i="9" s="1"/>
  <c r="D11" i="9" a="1"/>
  <c r="D11" i="9" s="1"/>
  <c r="E11" i="9" a="1"/>
  <c r="E11" i="9" s="1"/>
  <c r="F11" i="9" a="1"/>
  <c r="F11" i="9" s="1"/>
  <c r="G11" i="9" a="1"/>
  <c r="G11" i="9" s="1"/>
  <c r="C38" i="8"/>
  <c r="F66" i="5"/>
  <c r="E55" i="5"/>
  <c r="E56" i="5" s="1"/>
  <c r="E57" i="5" s="1"/>
  <c r="F51" i="5"/>
  <c r="F52" i="5"/>
  <c r="E104" i="5"/>
  <c r="E6" i="12" s="1"/>
  <c r="I7" i="2" l="1"/>
  <c r="K7" i="2"/>
  <c r="J7" i="2" s="1"/>
  <c r="C45" i="8"/>
  <c r="C50" i="8"/>
  <c r="C51" i="8"/>
  <c r="F126" i="5"/>
  <c r="F67" i="5"/>
  <c r="F107" i="5"/>
  <c r="F120" i="5" s="1"/>
  <c r="F53" i="5"/>
  <c r="F54" i="5"/>
  <c r="C47" i="8" l="1"/>
  <c r="C49" i="8"/>
  <c r="C52" i="8"/>
  <c r="C12" i="9"/>
  <c r="F98" i="5"/>
  <c r="F127" i="5"/>
  <c r="F101" i="5"/>
  <c r="F136" i="5"/>
  <c r="B27" i="12" l="1"/>
  <c r="M27" i="12" s="1"/>
  <c r="B18" i="12" a="1"/>
  <c r="B18" i="12" s="1"/>
  <c r="B15" i="2"/>
  <c r="C74" i="13" s="1"/>
  <c r="E74" i="13" s="1"/>
  <c r="F138" i="5"/>
  <c r="F87" i="5" s="1"/>
  <c r="F139" i="5"/>
  <c r="F140" i="5"/>
  <c r="F72" i="5" s="1"/>
  <c r="B17" i="2" l="1"/>
  <c r="D15" i="2"/>
  <c r="D17" i="2" s="1"/>
  <c r="E15" i="2"/>
  <c r="F128" i="5"/>
  <c r="F97" i="5" s="1"/>
  <c r="F100" i="5" s="1"/>
  <c r="F102" i="5" s="1"/>
  <c r="F68" i="5"/>
  <c r="F69" i="5" s="1"/>
  <c r="F77" i="5"/>
  <c r="F85" i="5" s="1"/>
  <c r="G131" i="5"/>
  <c r="G49" i="5"/>
  <c r="G50" i="5" s="1"/>
  <c r="F94" i="5"/>
  <c r="F103" i="5" s="1"/>
  <c r="F125" i="5"/>
  <c r="F129" i="5" s="1"/>
  <c r="F130" i="5" s="1"/>
  <c r="F132" i="5" s="1"/>
  <c r="F133" i="5" s="1"/>
  <c r="F7" i="12" s="1"/>
  <c r="B18" i="2" l="1"/>
  <c r="C76" i="13" s="1"/>
  <c r="E76" i="13" s="1"/>
  <c r="E17" i="2"/>
  <c r="G66" i="5"/>
  <c r="F55" i="5"/>
  <c r="F56" i="5" s="1"/>
  <c r="F57" i="5" s="1"/>
  <c r="G51" i="5"/>
  <c r="G52" i="5"/>
  <c r="F104" i="5"/>
  <c r="F6" i="12" s="1"/>
  <c r="H11" i="2" l="1"/>
  <c r="I11" i="2"/>
  <c r="J11" i="2"/>
  <c r="E18" i="2"/>
  <c r="E5" i="2"/>
  <c r="G126" i="5"/>
  <c r="G67" i="5"/>
  <c r="G107" i="5"/>
  <c r="G120" i="5" s="1"/>
  <c r="G53" i="5"/>
  <c r="G54" i="5"/>
  <c r="E7" i="2" l="1"/>
  <c r="B6" i="2"/>
  <c r="K11" i="2"/>
  <c r="C33" i="13" s="1" a="1"/>
  <c r="C33" i="13" s="1"/>
  <c r="E33" i="13" s="1"/>
  <c r="G98" i="5"/>
  <c r="G127" i="5"/>
  <c r="G101" i="5"/>
  <c r="G136" i="5"/>
  <c r="G138" i="5" l="1"/>
  <c r="G87" i="5" s="1"/>
  <c r="G139" i="5"/>
  <c r="G140" i="5"/>
  <c r="G72" i="5" s="1"/>
  <c r="G128" i="5" l="1"/>
  <c r="G97" i="5" s="1"/>
  <c r="G100" i="5" s="1"/>
  <c r="G102" i="5" s="1"/>
  <c r="G68" i="5"/>
  <c r="G69" i="5" s="1"/>
  <c r="G77" i="5"/>
  <c r="G85" i="5" s="1"/>
  <c r="H131" i="5"/>
  <c r="H49" i="5"/>
  <c r="H50" i="5" s="1"/>
  <c r="G94" i="5"/>
  <c r="G103" i="5" s="1"/>
  <c r="G125" i="5"/>
  <c r="G129" i="5" s="1"/>
  <c r="G130" i="5" s="1"/>
  <c r="G132" i="5" s="1"/>
  <c r="G133" i="5" s="1"/>
  <c r="G7" i="12" s="1"/>
  <c r="H66" i="5" l="1"/>
  <c r="G55" i="5"/>
  <c r="G56" i="5" s="1"/>
  <c r="G57" i="5" s="1"/>
  <c r="H51" i="5"/>
  <c r="H52" i="5"/>
  <c r="G104" i="5"/>
  <c r="G6" i="12" s="1"/>
  <c r="H126" i="5" l="1"/>
  <c r="H67" i="5"/>
  <c r="H107" i="5"/>
  <c r="H120" i="5" s="1"/>
  <c r="H53" i="5"/>
  <c r="H54" i="5"/>
  <c r="H98" i="5" l="1"/>
  <c r="H127" i="5"/>
  <c r="H101" i="5"/>
  <c r="H136" i="5"/>
  <c r="H138" i="5" l="1"/>
  <c r="H87" i="5" s="1"/>
  <c r="H139" i="5"/>
  <c r="H140" i="5"/>
  <c r="H72" i="5" s="1"/>
  <c r="H128" i="5" l="1"/>
  <c r="H97" i="5" s="1"/>
  <c r="H100" i="5" s="1"/>
  <c r="H102" i="5" s="1"/>
  <c r="H68" i="5"/>
  <c r="H69" i="5" s="1"/>
  <c r="H77" i="5"/>
  <c r="H85" i="5" s="1"/>
  <c r="I131" i="5"/>
  <c r="I49" i="5"/>
  <c r="I50" i="5" s="1"/>
  <c r="H94" i="5"/>
  <c r="H103" i="5" s="1"/>
  <c r="H125" i="5"/>
  <c r="H129" i="5" s="1"/>
  <c r="H130" i="5" s="1"/>
  <c r="H132" i="5" s="1"/>
  <c r="H133" i="5" s="1"/>
  <c r="H7" i="12" s="1"/>
  <c r="I66" i="5" l="1"/>
  <c r="H55" i="5"/>
  <c r="H56" i="5" s="1"/>
  <c r="H57" i="5" s="1"/>
  <c r="I51" i="5"/>
  <c r="I52" i="5"/>
  <c r="H104" i="5"/>
  <c r="H6" i="12" s="1"/>
  <c r="I126" i="5" l="1"/>
  <c r="I67" i="5"/>
  <c r="I107" i="5"/>
  <c r="I120" i="5" s="1"/>
  <c r="I53" i="5"/>
  <c r="I54" i="5"/>
  <c r="I98" i="5" l="1"/>
  <c r="I127" i="5"/>
  <c r="I101" i="5"/>
  <c r="I136" i="5"/>
  <c r="I138" i="5" l="1"/>
  <c r="I87" i="5" s="1"/>
  <c r="I139" i="5"/>
  <c r="I140" i="5"/>
  <c r="I72" i="5" s="1"/>
  <c r="I128" i="5" l="1"/>
  <c r="I97" i="5" s="1"/>
  <c r="I100" i="5" s="1"/>
  <c r="I102" i="5" s="1"/>
  <c r="I68" i="5"/>
  <c r="I69" i="5" s="1"/>
  <c r="I77" i="5"/>
  <c r="I85" i="5" s="1"/>
  <c r="J131" i="5"/>
  <c r="J49" i="5"/>
  <c r="J50" i="5" s="1"/>
  <c r="I94" i="5"/>
  <c r="I103" i="5" s="1"/>
  <c r="I125" i="5"/>
  <c r="I129" i="5" s="1"/>
  <c r="I130" i="5" s="1"/>
  <c r="I132" i="5" s="1"/>
  <c r="I133" i="5" s="1"/>
  <c r="I7" i="12" s="1"/>
  <c r="J66" i="5" l="1"/>
  <c r="I55" i="5"/>
  <c r="I56" i="5" s="1"/>
  <c r="I57" i="5" s="1"/>
  <c r="J51" i="5"/>
  <c r="J52" i="5"/>
  <c r="I104" i="5"/>
  <c r="I6" i="12" s="1"/>
  <c r="J126" i="5" l="1"/>
  <c r="J67" i="5"/>
  <c r="J107" i="5"/>
  <c r="J120" i="5" s="1"/>
  <c r="J53" i="5"/>
  <c r="J54" i="5"/>
  <c r="J98" i="5" l="1"/>
  <c r="J127" i="5"/>
  <c r="J101" i="5"/>
  <c r="J136" i="5"/>
  <c r="J138" i="5" l="1"/>
  <c r="J87" i="5" s="1"/>
  <c r="J139" i="5"/>
  <c r="J140" i="5"/>
  <c r="J72" i="5" s="1"/>
  <c r="J128" i="5" l="1"/>
  <c r="J97" i="5" s="1"/>
  <c r="J100" i="5" s="1"/>
  <c r="J102" i="5" s="1"/>
  <c r="J68" i="5"/>
  <c r="J69" i="5" s="1"/>
  <c r="J77" i="5"/>
  <c r="J85" i="5" s="1"/>
  <c r="K131" i="5"/>
  <c r="K49" i="5"/>
  <c r="K50" i="5" s="1"/>
  <c r="J94" i="5"/>
  <c r="J103" i="5" s="1"/>
  <c r="J125" i="5"/>
  <c r="J129" i="5" s="1"/>
  <c r="J130" i="5" s="1"/>
  <c r="J132" i="5" s="1"/>
  <c r="J133" i="5" s="1"/>
  <c r="J7" i="12" s="1"/>
  <c r="K66" i="5" l="1"/>
  <c r="J55" i="5"/>
  <c r="J56" i="5" s="1"/>
  <c r="J57" i="5" s="1"/>
  <c r="K51" i="5"/>
  <c r="K52" i="5"/>
  <c r="J104" i="5"/>
  <c r="J6" i="12" s="1"/>
  <c r="K126" i="5" l="1"/>
  <c r="K67" i="5"/>
  <c r="K107" i="5"/>
  <c r="K120" i="5" s="1"/>
  <c r="K53" i="5"/>
  <c r="K54" i="5"/>
  <c r="K98" i="5" l="1"/>
  <c r="K127" i="5"/>
  <c r="K101" i="5"/>
  <c r="K136" i="5"/>
  <c r="K138" i="5" l="1"/>
  <c r="K87" i="5" s="1"/>
  <c r="K139" i="5"/>
  <c r="K140" i="5"/>
  <c r="K72" i="5" s="1"/>
  <c r="K128" i="5" l="1"/>
  <c r="K97" i="5" s="1"/>
  <c r="K100" i="5" s="1"/>
  <c r="K102" i="5" s="1"/>
  <c r="K68" i="5"/>
  <c r="K69" i="5" s="1"/>
  <c r="K77" i="5"/>
  <c r="K85" i="5" s="1"/>
  <c r="L131" i="5"/>
  <c r="L49" i="5"/>
  <c r="L50" i="5" s="1"/>
  <c r="K94" i="5"/>
  <c r="K103" i="5" s="1"/>
  <c r="K125" i="5"/>
  <c r="K129" i="5" s="1"/>
  <c r="K130" i="5" s="1"/>
  <c r="K132" i="5" s="1"/>
  <c r="K133" i="5" s="1"/>
  <c r="K7" i="12" s="1"/>
  <c r="L66" i="5" l="1"/>
  <c r="K55" i="5"/>
  <c r="K56" i="5" s="1"/>
  <c r="K57" i="5" s="1"/>
  <c r="L51" i="5"/>
  <c r="L52" i="5"/>
  <c r="K104" i="5"/>
  <c r="K6" i="12" s="1"/>
  <c r="L126" i="5" l="1"/>
  <c r="L67" i="5"/>
  <c r="L107" i="5"/>
  <c r="L120" i="5" s="1"/>
  <c r="L53" i="5"/>
  <c r="L54" i="5"/>
  <c r="L98" i="5" l="1"/>
  <c r="L127" i="5"/>
  <c r="L101" i="5"/>
  <c r="L136" i="5"/>
  <c r="L138" i="5" l="1"/>
  <c r="L87" i="5" s="1"/>
  <c r="L139" i="5"/>
  <c r="L140" i="5"/>
  <c r="L72" i="5" s="1"/>
  <c r="L77" i="5" s="1"/>
  <c r="L85" i="5" s="1"/>
  <c r="L128" i="5" l="1"/>
  <c r="L97" i="5" s="1"/>
  <c r="L100" i="5" s="1"/>
  <c r="L102" i="5" s="1"/>
  <c r="L68" i="5"/>
  <c r="L69" i="5" s="1"/>
  <c r="L55" i="5" s="1"/>
  <c r="L56" i="5" s="1"/>
  <c r="L57" i="5" s="1"/>
  <c r="L94" i="5"/>
  <c r="L103" i="5" s="1"/>
  <c r="L104" i="5" s="1"/>
  <c r="L125" i="5"/>
  <c r="L129" i="5" s="1"/>
  <c r="L130" i="5" s="1"/>
  <c r="L132" i="5" s="1"/>
  <c r="L133" i="5" s="1"/>
  <c r="L7" i="12" s="1"/>
  <c r="M7" i="12" s="1"/>
  <c r="B433" i="9"/>
  <c r="G21" i="9"/>
  <c r="B417" i="9"/>
  <c r="F21" i="9"/>
  <c r="B401" i="9"/>
  <c r="E21" i="9"/>
  <c r="B385" i="9"/>
  <c r="D21" i="9"/>
  <c r="B369" i="9"/>
  <c r="C21" i="9"/>
  <c r="B353" i="9"/>
  <c r="G20" i="9"/>
  <c r="B337" i="9"/>
  <c r="F20" i="9"/>
  <c r="B321" i="9"/>
  <c r="E20" i="9"/>
  <c r="B305" i="9"/>
  <c r="D20" i="9"/>
  <c r="B289" i="9"/>
  <c r="C20" i="9"/>
  <c r="B273" i="9"/>
  <c r="G19" i="9"/>
  <c r="B257" i="9"/>
  <c r="F19" i="9"/>
  <c r="B241" i="9"/>
  <c r="E19" i="9"/>
  <c r="C23" i="9"/>
  <c r="B28" i="12" s="1"/>
  <c r="M28" i="12" s="1"/>
  <c r="B225" i="9"/>
  <c r="D19" i="9"/>
  <c r="B209" i="9"/>
  <c r="C19" i="9"/>
  <c r="B193" i="9"/>
  <c r="G18" i="9"/>
  <c r="B177" i="9"/>
  <c r="F18" i="9"/>
  <c r="B161" i="9"/>
  <c r="E18" i="9"/>
  <c r="B145" i="9"/>
  <c r="D18" i="9"/>
  <c r="B129" i="9"/>
  <c r="C18" i="9"/>
  <c r="B113" i="9"/>
  <c r="G17" i="9"/>
  <c r="B97" i="9"/>
  <c r="F17" i="9"/>
  <c r="B81" i="9"/>
  <c r="E17" i="9"/>
  <c r="B65" i="9"/>
  <c r="D17" i="9"/>
  <c r="B49" i="9"/>
  <c r="C17" i="9"/>
  <c r="B19" i="12" s="1" a="1"/>
  <c r="B19" i="12" s="1"/>
  <c r="B12" i="12" a="1"/>
  <c r="B12" i="12" s="1"/>
  <c r="L6" i="12" l="1"/>
  <c r="M6" i="12" s="1"/>
  <c r="B15" i="12" a="1"/>
  <c r="B15" i="12" s="1"/>
  <c r="B22" i="12" s="1"/>
  <c r="M22" i="12" l="1"/>
  <c r="B54" i="12"/>
  <c r="C43" i="13" s="1" a="1"/>
  <c r="C43" i="13" s="1"/>
  <c r="E43" i="13" l="1"/>
  <c r="C44" i="13"/>
  <c r="E44" i="13" s="1"/>
  <c r="B95" i="13" s="1"/>
  <c r="C95" i="13" l="1"/>
  <c r="B101" i="13"/>
  <c r="C101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Ishaan Patel</author>
  </authors>
  <commentList>
    <comment ref="B7" authorId="0" shapeId="0" xr:uid="{440BBDC2-AB1C-4B5F-A320-8BF016AE95EA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Products sales, FY2021. https://www.sec.gov/Archives/edgar/data/101829/000010182924000008/rtx-20231231.htm</t>
        </r>
      </text>
    </comment>
    <comment ref="C7" authorId="0" shapeId="0" xr:uid="{8FE61CD5-462C-42AD-883D-40E14CC25C7C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Products sales, FY2022. https://www.sec.gov/Archives/edgar/data/101829/000010182924000008/rtx-20231231.htm</t>
        </r>
      </text>
    </comment>
    <comment ref="D7" authorId="0" shapeId="0" xr:uid="{5096AD19-08A7-4325-B88E-6728D01DD896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Products sales, FY2023. https://www.sec.gov/Archives/edgar/data/101829/000010182926000006/rtx-20251231.htm</t>
        </r>
      </text>
    </comment>
    <comment ref="E7" authorId="0" shapeId="0" xr:uid="{DF234483-CA66-4601-953F-B1A36489EF4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Products sales, FY2024. https://www.sec.gov/Archives/edgar/data/101829/000010182926000006/rtx-20251231.htm</t>
        </r>
      </text>
    </comment>
    <comment ref="F7" authorId="0" shapeId="0" xr:uid="{CD399F39-135A-4311-A7BF-AACB1D35B8C9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Products sales, FY2025. https://www.sec.gov/Archives/edgar/data/101829/000010182926000006/rtx-20251231.htm</t>
        </r>
      </text>
    </comment>
    <comment ref="B8" authorId="0" shapeId="0" xr:uid="{33C7C937-7C83-45B5-97E6-C01F6C7D6560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Services sales, FY2021. https://www.sec.gov/Archives/edgar/data/101829/000010182924000008/rtx-20231231.htm</t>
        </r>
      </text>
    </comment>
    <comment ref="C8" authorId="0" shapeId="0" xr:uid="{FE860644-7A88-457F-A0DE-632A5898FD84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Services sales, FY2022. https://www.sec.gov/Archives/edgar/data/101829/000010182924000008/rtx-20231231.htm</t>
        </r>
      </text>
    </comment>
    <comment ref="D8" authorId="0" shapeId="0" xr:uid="{B6F705AC-9C49-473D-84F0-FDDFE1CA3EA4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Services sales, FY2023. https://www.sec.gov/Archives/edgar/data/101829/000010182926000006/rtx-20251231.htm</t>
        </r>
      </text>
    </comment>
    <comment ref="E8" authorId="0" shapeId="0" xr:uid="{A0EE7D53-01A1-4A64-A239-958664F233A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Services sales, FY2024. https://www.sec.gov/Archives/edgar/data/101829/000010182926000006/rtx-20251231.htm</t>
        </r>
      </text>
    </comment>
    <comment ref="F8" authorId="0" shapeId="0" xr:uid="{938E0C07-D704-4CA6-B104-ECEBA3572EA8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Services sales, FY2025. https://www.sec.gov/Archives/edgar/data/101829/000010182926000006/rtx-20251231.htm</t>
        </r>
      </text>
    </comment>
    <comment ref="G9" authorId="0" shapeId="0" xr:uid="{7079F0C9-43E3-42F8-86AA-EE268A165A7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Net sales, 9M 2025. https://www.sec.gov/Archives/edgar/data/0000101829/000010182926000030/rtx-20261020.htm</t>
        </r>
      </text>
    </comment>
    <comment ref="H9" authorId="0" shapeId="0" xr:uid="{289DB525-7B6C-482B-B6B9-1028611A17B4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Net sales, 9M 2026. https://www.sec.gov/Archives/edgar/data/0000101829/000010182926000030/rtx-20261020.htm</t>
        </r>
      </text>
    </comment>
    <comment ref="I9" authorId="0" shapeId="0" xr:uid="{A440B70B-B2F7-41F8-8542-EEEFA6501E21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Net sales, Q3 2026. https://www.sec.gov/Archives/edgar/data/0000101829/000010182926000030/rtx-20261020.htm</t>
        </r>
      </text>
    </comment>
    <comment ref="B10" authorId="0" shapeId="0" xr:uid="{42895BB9-1379-4855-9163-5D578E928327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Memo: Powder Metal Matter sales reduction (in net sales), FY2021. https://www.sec.gov/Archives/edgar/data/101829/000010182924000008/rtx-20231231.htm</t>
        </r>
      </text>
    </comment>
    <comment ref="C10" authorId="0" shapeId="0" xr:uid="{FA63818C-050D-4DAA-B920-3C866AF4D213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Memo: Powder Metal Matter sales reduction (in net sales), FY2022. https://www.sec.gov/Archives/edgar/data/101829/000010182924000008/rtx-20231231.htm</t>
        </r>
      </text>
    </comment>
    <comment ref="D10" authorId="0" shapeId="0" xr:uid="{1A9D3D64-9F29-4F12-B149-A17F12F15EE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Memo: Powder Metal Matter sales reduction (in net sales), FY2023. https://www.sec.gov/Archives/edgar/data/101829/000010182926000006/rtx-20251231.htm</t>
        </r>
      </text>
    </comment>
    <comment ref="E10" authorId="0" shapeId="0" xr:uid="{F7998A42-C299-45DE-A9E1-8D721238054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Memo: Powder Metal Matter sales reduction (in net sales), FY2024. https://www.sec.gov/Archives/edgar/data/101829/000010182926000006/rtx-20251231.htm</t>
        </r>
      </text>
    </comment>
    <comment ref="F10" authorId="0" shapeId="0" xr:uid="{F4C6EBB8-0B55-4F40-A659-6B049C8B9876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Memo: Powder Metal Matter sales reduction (in net sales), FY2025. https://www.sec.gov/Archives/edgar/data/101829/000010182926000006/rtx-20251231.htm</t>
        </r>
      </text>
    </comment>
    <comment ref="G10" authorId="0" shapeId="0" xr:uid="{2061CB76-92DC-45AC-B210-BDDCF3953181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Memo: Powder Metal Matter sales reduction (in net sales), 9M 2025. https://www.sec.gov/Archives/edgar/data/0000101829/000010182926000030/rtx-20261020.htm</t>
        </r>
      </text>
    </comment>
    <comment ref="H10" authorId="0" shapeId="0" xr:uid="{9519C0A8-CE3A-42A6-9A97-2E845772E01D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Memo: Powder Metal Matter sales reduction (in net sales), 9M 2026. https://www.sec.gov/Archives/edgar/data/0000101829/000010182926000030/rtx-20261020.htm</t>
        </r>
      </text>
    </comment>
    <comment ref="I10" authorId="0" shapeId="0" xr:uid="{EADC6852-8FBA-4AF2-A09C-936D746BD311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Memo: Powder Metal Matter sales reduction (in net sales), Q3 2026. https://www.sec.gov/Archives/edgar/data/0000101829/000010182926000030/rtx-20261020.htm</t>
        </r>
      </text>
    </comment>
    <comment ref="B11" authorId="0" shapeId="0" xr:uid="{0D62CAFA-2838-4D15-B7AE-C1699875B6E0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Cost of sales: products, FY2021. https://www.sec.gov/Archives/edgar/data/101829/000010182924000008/rtx-20231231.htm</t>
        </r>
      </text>
    </comment>
    <comment ref="C11" authorId="0" shapeId="0" xr:uid="{0BCC4443-98DF-4E03-8508-10679CD2326D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Cost of sales: products, FY2022. https://www.sec.gov/Archives/edgar/data/101829/000010182924000008/rtx-20231231.htm</t>
        </r>
      </text>
    </comment>
    <comment ref="D11" authorId="0" shapeId="0" xr:uid="{EC7E0FD2-1442-4EFE-BF87-6D0E1369972B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Cost of sales: products, FY2023. https://www.sec.gov/Archives/edgar/data/101829/000010182926000006/rtx-20251231.htm</t>
        </r>
      </text>
    </comment>
    <comment ref="E11" authorId="0" shapeId="0" xr:uid="{2896415E-269D-4F18-96FE-C9B2714310A0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Cost of sales: products, FY2024. https://www.sec.gov/Archives/edgar/data/101829/000010182926000006/rtx-20251231.htm</t>
        </r>
      </text>
    </comment>
    <comment ref="F11" authorId="0" shapeId="0" xr:uid="{39F3BEC7-BFAB-4CBF-AD01-BC56E3306432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Cost of sales: products, FY2025. https://www.sec.gov/Archives/edgar/data/101829/000010182926000006/rtx-20251231.htm</t>
        </r>
      </text>
    </comment>
    <comment ref="B12" authorId="0" shapeId="0" xr:uid="{74B427F3-D3CD-4475-8E61-060DC36BA9E3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Cost of sales: services, FY2021. https://www.sec.gov/Archives/edgar/data/101829/000010182924000008/rtx-20231231.htm</t>
        </r>
      </text>
    </comment>
    <comment ref="C12" authorId="0" shapeId="0" xr:uid="{30D1286D-F4CB-4069-B485-754EB58E92B4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Cost of sales: services, FY2022. https://www.sec.gov/Archives/edgar/data/101829/000010182924000008/rtx-20231231.htm</t>
        </r>
      </text>
    </comment>
    <comment ref="D12" authorId="0" shapeId="0" xr:uid="{E20349A4-1CA8-4473-BCC1-C371C871E04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Cost of sales: services, FY2023. https://www.sec.gov/Archives/edgar/data/101829/000010182926000006/rtx-20251231.htm</t>
        </r>
      </text>
    </comment>
    <comment ref="E12" authorId="0" shapeId="0" xr:uid="{74A34358-A8AF-4666-8F64-02F3923EBB17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Cost of sales: services, FY2024. https://www.sec.gov/Archives/edgar/data/101829/000010182926000006/rtx-20251231.htm</t>
        </r>
      </text>
    </comment>
    <comment ref="F12" authorId="0" shapeId="0" xr:uid="{1BAAC098-37BC-4C30-AB0A-FEBD717AD20F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Cost of sales: services, FY2025. https://www.sec.gov/Archives/edgar/data/101829/000010182926000006/rtx-20251231.htm</t>
        </r>
      </text>
    </comment>
    <comment ref="G13" authorId="0" shapeId="0" xr:uid="{BA4CDC6A-D4FF-4140-AF94-D4CCF87D70EA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Total cost of sales, 9M 2025. https://www.sec.gov/Archives/edgar/data/0000101829/000010182926000030/rtx-20261020.htm</t>
        </r>
      </text>
    </comment>
    <comment ref="H13" authorId="0" shapeId="0" xr:uid="{F2E1CB8B-6A38-4DC8-BFE9-604867DA612B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Total cost of sales, 9M 2026. https://www.sec.gov/Archives/edgar/data/0000101829/000010182926000030/rtx-20261020.htm</t>
        </r>
      </text>
    </comment>
    <comment ref="I13" authorId="0" shapeId="0" xr:uid="{2A3FC3BC-491C-4C8D-B5A4-FE7DC0321CC5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Total cost of sales, Q3 2026. https://www.sec.gov/Archives/edgar/data/0000101829/000010182926000030/rtx-20261020.htm</t>
        </r>
      </text>
    </comment>
    <comment ref="B16" authorId="0" shapeId="0" xr:uid="{74DA433D-A4F3-4087-9EF5-A388FBFC8437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Research and development, FY2021. https://www.sec.gov/Archives/edgar/data/101829/000010182924000008/rtx-20231231.htm</t>
        </r>
      </text>
    </comment>
    <comment ref="C16" authorId="0" shapeId="0" xr:uid="{2B74C557-575C-4C2B-AD03-460D4DBCD7E6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Research and development, FY2022. https://www.sec.gov/Archives/edgar/data/101829/000010182924000008/rtx-20231231.htm</t>
        </r>
      </text>
    </comment>
    <comment ref="D16" authorId="0" shapeId="0" xr:uid="{9B0D0444-877E-4C69-899E-8804D0D02063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Research and development, FY2023. https://www.sec.gov/Archives/edgar/data/101829/000010182926000006/rtx-20251231.htm</t>
        </r>
      </text>
    </comment>
    <comment ref="E16" authorId="0" shapeId="0" xr:uid="{5D2B4FC1-02D3-4598-BB68-5C48AC3CAEC0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Research and development, FY2024. https://www.sec.gov/Archives/edgar/data/101829/000010182926000006/rtx-20251231.htm</t>
        </r>
      </text>
    </comment>
    <comment ref="F16" authorId="0" shapeId="0" xr:uid="{D79200E1-B82B-4179-A22D-EB8F4436D41F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Research and development, FY2025. https://www.sec.gov/Archives/edgar/data/101829/000010182926000006/rtx-20251231.htm</t>
        </r>
      </text>
    </comment>
    <comment ref="G16" authorId="0" shapeId="0" xr:uid="{32E2CADF-7090-449F-B4B1-426068C79AA7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Research and development, 9M 2025. https://www.sec.gov/Archives/edgar/data/0000101829/000010182926000030/rtx-20261020.htm</t>
        </r>
      </text>
    </comment>
    <comment ref="H16" authorId="0" shapeId="0" xr:uid="{7A383C13-D62E-454B-8626-B4EA71DBA41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Research and development, 9M 2026. https://www.sec.gov/Archives/edgar/data/0000101829/000010182926000030/rtx-20261020.htm</t>
        </r>
      </text>
    </comment>
    <comment ref="I16" authorId="0" shapeId="0" xr:uid="{4F8A5191-70CE-4295-BC31-8755DD6F1234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Research and development, Q3 2026. https://www.sec.gov/Archives/edgar/data/0000101829/000010182926000030/rtx-20261020.htm</t>
        </r>
      </text>
    </comment>
    <comment ref="B17" authorId="0" shapeId="0" xr:uid="{A15A4E7B-716F-40BE-BEBA-A8A70DB1AA9B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Selling, general and administrative, FY2021. https://www.sec.gov/Archives/edgar/data/101829/000010182924000008/rtx-20231231.htm</t>
        </r>
      </text>
    </comment>
    <comment ref="C17" authorId="0" shapeId="0" xr:uid="{3AF22C2A-7976-4D3B-ABFF-4BE66FE4B88F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Selling, general and administrative, FY2022. https://www.sec.gov/Archives/edgar/data/101829/000010182924000008/rtx-20231231.htm</t>
        </r>
      </text>
    </comment>
    <comment ref="D17" authorId="0" shapeId="0" xr:uid="{7127CE38-0F81-4F15-9517-0C26D9B2F023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Selling, general and administrative, FY2023. https://www.sec.gov/Archives/edgar/data/101829/000010182926000006/rtx-20251231.htm</t>
        </r>
      </text>
    </comment>
    <comment ref="E17" authorId="0" shapeId="0" xr:uid="{FC20B5B4-4785-4BE6-AB8B-DC6C5414C1A2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Selling, general and administrative, FY2024. https://www.sec.gov/Archives/edgar/data/101829/000010182926000006/rtx-20251231.htm</t>
        </r>
      </text>
    </comment>
    <comment ref="F17" authorId="0" shapeId="0" xr:uid="{8972BBDD-0F2F-4B9B-B848-6E8C0CA55ECF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Selling, general and administrative, FY2025. https://www.sec.gov/Archives/edgar/data/101829/000010182926000006/rtx-20251231.htm</t>
        </r>
      </text>
    </comment>
    <comment ref="G17" authorId="0" shapeId="0" xr:uid="{3DABD802-21A8-4391-AE3D-5CC53A73EBC7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Selling, general and administrative, 9M 2025. https://www.sec.gov/Archives/edgar/data/0000101829/000010182926000030/rtx-20261020.htm</t>
        </r>
      </text>
    </comment>
    <comment ref="H17" authorId="0" shapeId="0" xr:uid="{5DC6331A-E973-4147-8EA9-5AA4968438D8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Selling, general and administrative, 9M 2026. https://www.sec.gov/Archives/edgar/data/0000101829/000010182926000030/rtx-20261020.htm</t>
        </r>
      </text>
    </comment>
    <comment ref="I17" authorId="0" shapeId="0" xr:uid="{06018901-7142-4F90-8A85-CF4AD9BEA6CD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Selling, general and administrative, Q3 2026. https://www.sec.gov/Archives/edgar/data/0000101829/000010182926000030/rtx-20261020.htm</t>
        </r>
      </text>
    </comment>
    <comment ref="B18" authorId="0" shapeId="0" xr:uid="{768E975B-E333-4698-8209-5E279329DADC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Other income (expense), net, FY2021. https://www.sec.gov/Archives/edgar/data/101829/000010182924000008/rtx-20231231.htm</t>
        </r>
      </text>
    </comment>
    <comment ref="C18" authorId="0" shapeId="0" xr:uid="{93819ABF-589A-465F-9C4E-0E922D214CFD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Other income (expense), net, FY2022. https://www.sec.gov/Archives/edgar/data/101829/000010182924000008/rtx-20231231.htm</t>
        </r>
      </text>
    </comment>
    <comment ref="D18" authorId="0" shapeId="0" xr:uid="{FA2127C3-1278-4787-8FDF-6F9DDC297ACB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Other income (expense), net, FY2023. https://www.sec.gov/Archives/edgar/data/101829/000010182926000006/rtx-20251231.htm</t>
        </r>
      </text>
    </comment>
    <comment ref="E18" authorId="0" shapeId="0" xr:uid="{7F3E357C-395C-42A7-A7B9-CAD867A39EA3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Other income (expense), net, FY2024. https://www.sec.gov/Archives/edgar/data/101829/000010182926000006/rtx-20251231.htm</t>
        </r>
      </text>
    </comment>
    <comment ref="F18" authorId="0" shapeId="0" xr:uid="{21CE519D-A7BC-4196-BAAF-C01D9F7D2B52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Other income (expense), net, FY2025. https://www.sec.gov/Archives/edgar/data/101829/000010182926000006/rtx-20251231.htm</t>
        </r>
      </text>
    </comment>
    <comment ref="G18" authorId="0" shapeId="0" xr:uid="{9135423A-944F-4DE6-BCFC-A54FF6B5DCD1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Other income (expense), net, 9M 2025. https://www.sec.gov/Archives/edgar/data/0000101829/000010182926000030/rtx-20261020.htm</t>
        </r>
      </text>
    </comment>
    <comment ref="H18" authorId="0" shapeId="0" xr:uid="{375EC9B1-10A2-489E-8A2D-8C263627CC01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Other income (expense), net, 9M 2026. https://www.sec.gov/Archives/edgar/data/0000101829/000010182926000030/rtx-20261020.htm</t>
        </r>
      </text>
    </comment>
    <comment ref="I18" authorId="0" shapeId="0" xr:uid="{A1DB7FBC-B98E-4103-B174-6797F2A801D6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Other income (expense), net, Q3 2026. https://www.sec.gov/Archives/edgar/data/0000101829/000010182926000030/rtx-20261020.htm</t>
        </r>
      </text>
    </comment>
    <comment ref="B21" authorId="0" shapeId="0" xr:uid="{7F048F9A-A6CF-4224-89A5-218201C02530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Memo: Powder Metal Matter charge (in operating profit), FY2021. https://www.sec.gov/Archives/edgar/data/101829/000010182924000008/rtx-20231231.htm</t>
        </r>
      </text>
    </comment>
    <comment ref="C21" authorId="0" shapeId="0" xr:uid="{85019682-DABE-4C4B-82AB-4233984E14CF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Memo: Powder Metal Matter charge (in operating profit), FY2022. https://www.sec.gov/Archives/edgar/data/101829/000010182924000008/rtx-20231231.htm</t>
        </r>
      </text>
    </comment>
    <comment ref="D21" authorId="0" shapeId="0" xr:uid="{1283FC9D-70D9-4A3C-8CC9-14AC198C5ABD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Memo: Powder Metal Matter charge (in operating profit), FY2023. https://www.sec.gov/Archives/edgar/data/101829/000010182926000006/rtx-20251231.htm</t>
        </r>
      </text>
    </comment>
    <comment ref="E21" authorId="0" shapeId="0" xr:uid="{8846EB1B-35F3-403B-919A-2804E6448C6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Memo: Powder Metal Matter charge (in operating profit), FY2024. https://www.sec.gov/Archives/edgar/data/101829/000010182926000006/rtx-20251231.htm</t>
        </r>
      </text>
    </comment>
    <comment ref="F21" authorId="0" shapeId="0" xr:uid="{E6FBB409-5D14-4BF1-8D30-D5754AFFF911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Memo: Powder Metal Matter charge (in operating profit), FY2025. https://www.sec.gov/Archives/edgar/data/101829/000010182926000006/rtx-20251231.htm</t>
        </r>
      </text>
    </comment>
    <comment ref="G21" authorId="0" shapeId="0" xr:uid="{13D2668A-5A6B-443D-B123-21A6AA3B110F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Memo: Powder Metal Matter charge (in operating profit), 9M 2025. https://www.sec.gov/Archives/edgar/data/0000101829/000010182926000030/rtx-20261020.htm</t>
        </r>
      </text>
    </comment>
    <comment ref="H21" authorId="0" shapeId="0" xr:uid="{B9FB656D-93D3-413A-8A30-36959A4F6488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Memo: Powder Metal Matter charge (in operating profit), 9M 2026. https://www.sec.gov/Archives/edgar/data/0000101829/000010182926000030/rtx-20261020.htm</t>
        </r>
      </text>
    </comment>
    <comment ref="I21" authorId="0" shapeId="0" xr:uid="{C62E3BA6-A5DB-496D-999B-D89ADF40021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Memo: Powder Metal Matter charge (in operating profit), Q3 2026. https://www.sec.gov/Archives/edgar/data/0000101829/000010182926000030/rtx-20261020.htm</t>
        </r>
      </text>
    </comment>
    <comment ref="B22" authorId="0" shapeId="0" xr:uid="{B233AAA7-E41D-4BF0-A84A-BCE9DF0DA376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Non-service pension income, FY2021. https://www.sec.gov/Archives/edgar/data/101829/000010182924000008/rtx-20231231.htm</t>
        </r>
      </text>
    </comment>
    <comment ref="C22" authorId="0" shapeId="0" xr:uid="{3E437A7C-698C-4AAD-9ADE-9E908DD2BF27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Non-service pension income, FY2022. https://www.sec.gov/Archives/edgar/data/101829/000010182924000008/rtx-20231231.htm</t>
        </r>
      </text>
    </comment>
    <comment ref="D22" authorId="0" shapeId="0" xr:uid="{23F0E885-3EBD-4F30-8197-6681912E6DF5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Non-service pension income, FY2023. https://www.sec.gov/Archives/edgar/data/101829/000010182926000006/rtx-20251231.htm</t>
        </r>
      </text>
    </comment>
    <comment ref="E22" authorId="0" shapeId="0" xr:uid="{FA1ABD5E-2FBC-4C47-AC13-8AF4E7539789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Non-service pension income, FY2024. https://www.sec.gov/Archives/edgar/data/101829/000010182926000006/rtx-20251231.htm</t>
        </r>
      </text>
    </comment>
    <comment ref="F22" authorId="0" shapeId="0" xr:uid="{DBF9983A-77E0-4916-8BFF-C517F4D8BAE9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Non-service pension income, FY2025. https://www.sec.gov/Archives/edgar/data/101829/000010182926000006/rtx-20251231.htm</t>
        </r>
      </text>
    </comment>
    <comment ref="G22" authorId="0" shapeId="0" xr:uid="{5354300C-3B4E-4ED7-A427-E9092BBD0388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Non-service pension income, 9M 2025. https://www.sec.gov/Archives/edgar/data/0000101829/000010182926000030/rtx-20261020.htm</t>
        </r>
      </text>
    </comment>
    <comment ref="H22" authorId="0" shapeId="0" xr:uid="{39F7C5C4-F1F2-47B4-98B3-9B7D19AA83D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Non-service pension income, 9M 2026. https://www.sec.gov/Archives/edgar/data/0000101829/000010182926000030/rtx-20261020.htm</t>
        </r>
      </text>
    </comment>
    <comment ref="I22" authorId="0" shapeId="0" xr:uid="{55EE96EF-C38B-405D-BF16-194FBE691C31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Non-service pension income, Q3 2026. https://www.sec.gov/Archives/edgar/data/0000101829/000010182926000030/rtx-20261020.htm</t>
        </r>
      </text>
    </comment>
    <comment ref="B23" authorId="0" shapeId="0" xr:uid="{116AAAB8-6FEF-4115-9192-E0B9C6142AA9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Debt extinguishment costs, FY2021. https://www.sec.gov/Archives/edgar/data/101829/000010182924000008/rtx-20231231.htm</t>
        </r>
      </text>
    </comment>
    <comment ref="C23" authorId="0" shapeId="0" xr:uid="{09C9672D-30F0-4C4C-8126-094A1299A2AD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Debt extinguishment costs, FY2022. https://www.sec.gov/Archives/edgar/data/101829/000010182924000008/rtx-20231231.htm</t>
        </r>
      </text>
    </comment>
    <comment ref="D23" authorId="0" shapeId="0" xr:uid="{3472E36E-4EC8-48FB-B371-273CFEC901A5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Debt extinguishment costs, FY2023. https://www.sec.gov/Archives/edgar/data/101829/000010182926000006/rtx-20251231.htm</t>
        </r>
      </text>
    </comment>
    <comment ref="E23" authorId="0" shapeId="0" xr:uid="{740CAB27-7B01-4C67-AEDA-F86AC8785B54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Debt extinguishment costs, FY2024. https://www.sec.gov/Archives/edgar/data/101829/000010182926000006/rtx-20251231.htm</t>
        </r>
      </text>
    </comment>
    <comment ref="F23" authorId="0" shapeId="0" xr:uid="{00C05B5E-3ECA-4F6B-8BE5-BB3DBAD151AB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Debt extinguishment costs, FY2025. https://www.sec.gov/Archives/edgar/data/101829/000010182926000006/rtx-20251231.htm</t>
        </r>
      </text>
    </comment>
    <comment ref="G23" authorId="0" shapeId="0" xr:uid="{5F192017-AB4B-4A20-949C-5A3499333AD6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Debt extinguishment costs, 9M 2025. https://www.sec.gov/Archives/edgar/data/0000101829/000010182926000030/rtx-20261020.htm</t>
        </r>
      </text>
    </comment>
    <comment ref="H23" authorId="0" shapeId="0" xr:uid="{76CAE8E6-8FCE-418F-B6A0-BD655B710402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Debt extinguishment costs, 9M 2026. https://www.sec.gov/Archives/edgar/data/0000101829/000010182926000030/rtx-20261020.htm</t>
        </r>
      </text>
    </comment>
    <comment ref="I23" authorId="0" shapeId="0" xr:uid="{947CA2DD-CC83-4CC6-BF45-AC11670531B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Debt extinguishment costs, Q3 2026. https://www.sec.gov/Archives/edgar/data/0000101829/000010182926000030/rtx-20261020.htm</t>
        </r>
      </text>
    </comment>
    <comment ref="B24" authorId="0" shapeId="0" xr:uid="{BA045964-DAEF-4138-A5F7-4C72CFC4F628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Interest expense, net, FY2021. https://www.sec.gov/Archives/edgar/data/101829/000010182924000008/rtx-20231231.htm</t>
        </r>
      </text>
    </comment>
    <comment ref="C24" authorId="0" shapeId="0" xr:uid="{577AC29D-D2DE-4462-A6B8-80C2A345DCCF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Interest expense, net, FY2022. https://www.sec.gov/Archives/edgar/data/101829/000010182924000008/rtx-20231231.htm</t>
        </r>
      </text>
    </comment>
    <comment ref="D24" authorId="0" shapeId="0" xr:uid="{E46374DC-323F-4F6F-9D7E-B5244EC09425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Interest expense, net, FY2023. https://www.sec.gov/Archives/edgar/data/101829/000010182926000006/rtx-20251231.htm</t>
        </r>
      </text>
    </comment>
    <comment ref="E24" authorId="0" shapeId="0" xr:uid="{D1A8AF2E-7E3A-4464-8B6E-3AA48B8774C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Interest expense, net, FY2024. https://www.sec.gov/Archives/edgar/data/101829/000010182926000006/rtx-20251231.htm</t>
        </r>
      </text>
    </comment>
    <comment ref="F24" authorId="0" shapeId="0" xr:uid="{917F7695-3DB1-41A7-BCEA-3E7A62EB3A06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Interest expense, net, FY2025. https://www.sec.gov/Archives/edgar/data/101829/000010182926000006/rtx-20251231.htm</t>
        </r>
      </text>
    </comment>
    <comment ref="G24" authorId="0" shapeId="0" xr:uid="{6292FD81-B572-4844-B5D7-1A2A258ABA80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Interest expense, net, 9M 2025. https://www.sec.gov/Archives/edgar/data/0000101829/000010182926000030/rtx-20261020.htm</t>
        </r>
      </text>
    </comment>
    <comment ref="H24" authorId="0" shapeId="0" xr:uid="{20C0721D-A16C-4E36-91BD-62812394F6BB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Interest expense, net, 9M 2026. https://www.sec.gov/Archives/edgar/data/0000101829/000010182926000030/rtx-20261020.htm</t>
        </r>
      </text>
    </comment>
    <comment ref="I24" authorId="0" shapeId="0" xr:uid="{FD7FC658-C2FB-4118-8F56-E10C570A8D41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Interest expense, net, Q3 2026. https://www.sec.gov/Archives/edgar/data/0000101829/000010182926000030/rtx-20261020.htm</t>
        </r>
      </text>
    </comment>
    <comment ref="B26" authorId="0" shapeId="0" xr:uid="{2994FBCF-8B83-498F-8011-4A87E301CBC7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Income tax expense, FY2021. https://www.sec.gov/Archives/edgar/data/101829/000010182924000008/rtx-20231231.htm</t>
        </r>
      </text>
    </comment>
    <comment ref="C26" authorId="0" shapeId="0" xr:uid="{251C35D2-2533-40D8-A2DB-E350EADC513C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Income tax expense, FY2022. https://www.sec.gov/Archives/edgar/data/101829/000010182924000008/rtx-20231231.htm</t>
        </r>
      </text>
    </comment>
    <comment ref="D26" authorId="0" shapeId="0" xr:uid="{F7483494-FA7A-4900-A0F2-3C6FE0265321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Income tax expense, FY2023. https://www.sec.gov/Archives/edgar/data/101829/000010182926000006/rtx-20251231.htm</t>
        </r>
      </text>
    </comment>
    <comment ref="E26" authorId="0" shapeId="0" xr:uid="{5DBA65C6-2026-4D00-965F-D225C228B9F3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Income tax expense, FY2024. https://www.sec.gov/Archives/edgar/data/101829/000010182926000006/rtx-20251231.htm</t>
        </r>
      </text>
    </comment>
    <comment ref="F26" authorId="0" shapeId="0" xr:uid="{123742AF-9B41-4A29-966B-95251D55BFB6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Income tax expense, FY2025. https://www.sec.gov/Archives/edgar/data/101829/000010182926000006/rtx-20251231.htm</t>
        </r>
      </text>
    </comment>
    <comment ref="G26" authorId="0" shapeId="0" xr:uid="{DDBBE401-75AC-4C84-8F8A-7F297A98474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Income tax expense, 9M 2025. https://www.sec.gov/Archives/edgar/data/0000101829/000010182926000030/rtx-20261020.htm</t>
        </r>
      </text>
    </comment>
    <comment ref="H26" authorId="0" shapeId="0" xr:uid="{9C093F7A-E0E3-44B0-B14A-14131805967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Income tax expense, 9M 2026. https://www.sec.gov/Archives/edgar/data/0000101829/000010182926000030/rtx-20261020.htm</t>
        </r>
      </text>
    </comment>
    <comment ref="I26" authorId="0" shapeId="0" xr:uid="{6AF5781B-2EBA-491B-89CD-3EEC7ADD8270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Income tax expense, Q3 2026. https://www.sec.gov/Archives/edgar/data/0000101829/000010182926000030/rtx-20261020.htm</t>
        </r>
      </text>
    </comment>
    <comment ref="B29" authorId="0" shapeId="0" xr:uid="{9F6ADE08-F6F6-48E7-BEE9-4BE342E580E1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Less: noncontrolling interest earnings, FY2021. https://www.sec.gov/Archives/edgar/data/101829/000010182924000008/rtx-20231231.htm</t>
        </r>
      </text>
    </comment>
    <comment ref="C29" authorId="0" shapeId="0" xr:uid="{76733BF4-0976-4C88-8A62-E26187A22365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Less: noncontrolling interest earnings, FY2022. https://www.sec.gov/Archives/edgar/data/101829/000010182924000008/rtx-20231231.htm</t>
        </r>
      </text>
    </comment>
    <comment ref="D29" authorId="0" shapeId="0" xr:uid="{86E29F0A-F46E-4BBD-BB3D-E569C48A7D35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Less: noncontrolling interest earnings, FY2023. https://www.sec.gov/Archives/edgar/data/101829/000010182926000006/rtx-20251231.htm</t>
        </r>
      </text>
    </comment>
    <comment ref="E29" authorId="0" shapeId="0" xr:uid="{87969674-9B34-41BA-B852-572AADA39B71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Less: noncontrolling interest earnings, FY2024. https://www.sec.gov/Archives/edgar/data/101829/000010182926000006/rtx-20251231.htm</t>
        </r>
      </text>
    </comment>
    <comment ref="F29" authorId="0" shapeId="0" xr:uid="{85CC9C28-3E97-4C82-81B6-EDE530B3B1D0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Less: noncontrolling interest earnings, FY2025. https://www.sec.gov/Archives/edgar/data/101829/000010182926000006/rtx-20251231.htm</t>
        </r>
      </text>
    </comment>
    <comment ref="G29" authorId="0" shapeId="0" xr:uid="{298F2148-0955-41D1-B050-EC88ED98B81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Less: noncontrolling interest earnings, 9M 2025. https://www.sec.gov/Archives/edgar/data/0000101829/000010182926000030/rtx-20261020.htm</t>
        </r>
      </text>
    </comment>
    <comment ref="H29" authorId="0" shapeId="0" xr:uid="{8E2AEF59-3C25-4BC3-AC89-0310959ABEBF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Less: noncontrolling interest earnings, 9M 2026. https://www.sec.gov/Archives/edgar/data/0000101829/000010182926000030/rtx-20261020.htm</t>
        </r>
      </text>
    </comment>
    <comment ref="I29" authorId="0" shapeId="0" xr:uid="{1B6D3979-F0D2-44A5-94C8-5ADE27816317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Less: noncontrolling interest earnings, Q3 2026. https://www.sec.gov/Archives/edgar/data/0000101829/000010182926000030/rtx-20261020.htm</t>
        </r>
      </text>
    </comment>
    <comment ref="B30" authorId="0" shapeId="0" xr:uid="{D74EA818-4753-4D5F-AADC-0218FE45F840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Discontinued operations, net, FY2021. https://www.sec.gov/Archives/edgar/data/101829/000010182924000008/rtx-20231231.htm</t>
        </r>
      </text>
    </comment>
    <comment ref="C30" authorId="0" shapeId="0" xr:uid="{351EEB39-E2A0-46B6-8763-B2F2D5F4F6B2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Discontinued operations, net, FY2022. https://www.sec.gov/Archives/edgar/data/101829/000010182924000008/rtx-20231231.htm</t>
        </r>
      </text>
    </comment>
    <comment ref="D30" authorId="0" shapeId="0" xr:uid="{8A922987-2A98-4388-A48B-1FF1B844F6F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Discontinued operations, net, FY2023. https://www.sec.gov/Archives/edgar/data/101829/000010182926000006/rtx-20251231.htm</t>
        </r>
      </text>
    </comment>
    <comment ref="E30" authorId="0" shapeId="0" xr:uid="{51F8A285-0C25-40DD-A34F-16D3D3820CC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Discontinued operations, net, FY2024. https://www.sec.gov/Archives/edgar/data/101829/000010182926000006/rtx-20251231.htm</t>
        </r>
      </text>
    </comment>
    <comment ref="F30" authorId="0" shapeId="0" xr:uid="{EB0CBED6-1D93-47B1-83FD-17C73085BB4D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Discontinued operations, net, FY2025. https://www.sec.gov/Archives/edgar/data/101829/000010182926000006/rtx-20251231.htm</t>
        </r>
      </text>
    </comment>
    <comment ref="G30" authorId="0" shapeId="0" xr:uid="{7F707A2D-E4B2-447F-BA5B-E12870F1BAAF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Discontinued operations, net, 9M 2025. https://www.sec.gov/Archives/edgar/data/0000101829/000010182926000030/rtx-20261020.htm</t>
        </r>
      </text>
    </comment>
    <comment ref="H30" authorId="0" shapeId="0" xr:uid="{9E62BD86-6224-48DD-A877-0B975B0605F2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Discontinued operations, net, 9M 2026. https://www.sec.gov/Archives/edgar/data/0000101829/000010182926000030/rtx-20261020.htm</t>
        </r>
      </text>
    </comment>
    <comment ref="I30" authorId="0" shapeId="0" xr:uid="{7E220DE0-2BD7-4BF7-A1C4-019FA3421CA5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Discontinued operations, net, Q3 2026. https://www.sec.gov/Archives/edgar/data/0000101829/000010182926000030/rtx-20261020.htm</t>
        </r>
      </text>
    </comment>
    <comment ref="B32" authorId="0" shapeId="0" xr:uid="{679D9D3D-ECE6-44A3-A75B-14CC064EDD8C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Diluted EPS ($), FY2021. https://www.sec.gov/Archives/edgar/data/101829/000010182924000008/rtx-20231231.htm</t>
        </r>
      </text>
    </comment>
    <comment ref="C32" authorId="0" shapeId="0" xr:uid="{7D777B16-331F-4C96-AA84-8F1F0B450DA4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Diluted EPS ($), FY2022. https://www.sec.gov/Archives/edgar/data/101829/000010182924000008/rtx-20231231.htm</t>
        </r>
      </text>
    </comment>
    <comment ref="D32" authorId="0" shapeId="0" xr:uid="{ADC85523-FE85-4C6C-A8C9-1E65CF51CBD6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Diluted EPS ($), FY2023. https://www.sec.gov/Archives/edgar/data/101829/000010182926000006/rtx-20251231.htm</t>
        </r>
      </text>
    </comment>
    <comment ref="E32" authorId="0" shapeId="0" xr:uid="{63F08581-AFC8-47E0-8183-AF25510698D7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Diluted EPS ($), FY2024. https://www.sec.gov/Archives/edgar/data/101829/000010182926000006/rtx-20251231.htm</t>
        </r>
      </text>
    </comment>
    <comment ref="F32" authorId="0" shapeId="0" xr:uid="{7521B99E-77E1-4262-85A6-92501EB28C19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Diluted EPS ($), FY2025. https://www.sec.gov/Archives/edgar/data/101829/000010182926000006/rtx-20251231.htm</t>
        </r>
      </text>
    </comment>
    <comment ref="G32" authorId="0" shapeId="0" xr:uid="{783F11A5-E4A6-44BA-A108-BD0B2EFA697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Diluted EPS ($), 9M 2025. https://www.sec.gov/Archives/edgar/data/0000101829/000010182926000030/rtx-20261020.htm</t>
        </r>
      </text>
    </comment>
    <comment ref="H32" authorId="0" shapeId="0" xr:uid="{EC82147A-4CD4-4D37-9799-4D9D45A1C636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Diluted EPS ($), 9M 2026. https://www.sec.gov/Archives/edgar/data/0000101829/000010182926000030/rtx-20261020.htm</t>
        </r>
      </text>
    </comment>
    <comment ref="I32" authorId="0" shapeId="0" xr:uid="{577E4771-9F79-454B-83EF-05DD4ECE137A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Diluted EPS ($), Q3 2026. https://www.sec.gov/Archives/edgar/data/0000101829/000010182926000030/rtx-20261020.htm</t>
        </r>
      </text>
    </comment>
    <comment ref="B33" authorId="0" shapeId="0" xr:uid="{6D45F91F-C658-4D88-A6A4-CE4D268F30BB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Diluted shares (millions), FY2021. https://www.sec.gov/Archives/edgar/data/101829/000010182924000008/rtx-20231231.htm</t>
        </r>
      </text>
    </comment>
    <comment ref="C33" authorId="0" shapeId="0" xr:uid="{05FFC321-3489-4DC1-88B6-0D144160D27F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Diluted shares (millions), FY2022. https://www.sec.gov/Archives/edgar/data/101829/000010182924000008/rtx-20231231.htm</t>
        </r>
      </text>
    </comment>
    <comment ref="D33" authorId="0" shapeId="0" xr:uid="{84220615-32DB-47A9-9E48-0592B835BCC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Diluted shares (millions), FY2023. https://www.sec.gov/Archives/edgar/data/101829/000010182926000006/rtx-20251231.htm</t>
        </r>
      </text>
    </comment>
    <comment ref="E33" authorId="0" shapeId="0" xr:uid="{BB523D23-5DED-44CF-9827-4E957711CB39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Diluted shares (millions), FY2024. https://www.sec.gov/Archives/edgar/data/101829/000010182926000006/rtx-20251231.htm</t>
        </r>
      </text>
    </comment>
    <comment ref="F33" authorId="0" shapeId="0" xr:uid="{1A7EC97B-FD34-4370-8CD9-45F30FD903B4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Diluted shares (millions), FY2025. https://www.sec.gov/Archives/edgar/data/101829/000010182926000006/rtx-20251231.htm</t>
        </r>
      </text>
    </comment>
    <comment ref="G33" authorId="0" shapeId="0" xr:uid="{0BE9A3AD-425D-4CFC-9C74-B91E06DBACD6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Diluted shares (millions), 9M 2025. https://www.sec.gov/Archives/edgar/data/0000101829/000010182926000030/rtx-20261020.htm</t>
        </r>
      </text>
    </comment>
    <comment ref="H33" authorId="0" shapeId="0" xr:uid="{A299FF28-F393-49B5-876A-AD936B4899D2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Diluted shares (millions), 9M 2026. https://www.sec.gov/Archives/edgar/data/0000101829/000010182926000030/rtx-20261020.htm</t>
        </r>
      </text>
    </comment>
    <comment ref="I33" authorId="0" shapeId="0" xr:uid="{CEC6A940-4CBB-4358-B0FE-B4BED1CFF077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Diluted shares (millions), Q3 2026. https://www.sec.gov/Archives/edgar/data/0000101829/000010182926000030/rtx-20261020.htm</t>
        </r>
      </text>
    </comment>
    <comment ref="B34" authorId="0" shapeId="0" xr:uid="{816321DA-82D9-452D-9C34-89C7E3446555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Basic shares (millions), FY2021. https://www.sec.gov/Archives/edgar/data/101829/000010182924000008/rtx-20231231.htm</t>
        </r>
      </text>
    </comment>
    <comment ref="C34" authorId="0" shapeId="0" xr:uid="{F3BA889B-B6C9-47F2-BF5B-A92E5C315581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Operations, Basic shares (millions), FY2022. https://www.sec.gov/Archives/edgar/data/101829/000010182924000008/rtx-20231231.htm</t>
        </r>
      </text>
    </comment>
    <comment ref="D34" authorId="0" shapeId="0" xr:uid="{4AFFC930-DC25-4D74-9674-6852A1BE5CB4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Basic shares (millions), FY2023. https://www.sec.gov/Archives/edgar/data/101829/000010182926000006/rtx-20251231.htm</t>
        </r>
      </text>
    </comment>
    <comment ref="E34" authorId="0" shapeId="0" xr:uid="{2918F458-5E63-4D8E-B5B2-8C7E3798762B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Basic shares (millions), FY2024. https://www.sec.gov/Archives/edgar/data/101829/000010182926000006/rtx-20251231.htm</t>
        </r>
      </text>
    </comment>
    <comment ref="F34" authorId="0" shapeId="0" xr:uid="{71566B6B-59E3-4316-8582-75C2533187C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Operations, Basic shares (millions), FY2025. https://www.sec.gov/Archives/edgar/data/101829/000010182926000006/rtx-20251231.htm</t>
        </r>
      </text>
    </comment>
    <comment ref="G34" authorId="0" shapeId="0" xr:uid="{F3DAD1E5-D1B1-4F25-B882-F1F3C1E5E532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Basic shares (millions), 9M 2025. https://www.sec.gov/Archives/edgar/data/0000101829/000010182926000030/rtx-20261020.htm</t>
        </r>
      </text>
    </comment>
    <comment ref="H34" authorId="0" shapeId="0" xr:uid="{67DE6534-D64E-422F-85DC-CCDF34D83C63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Basic shares (millions), 9M 2026. https://www.sec.gov/Archives/edgar/data/0000101829/000010182926000030/rtx-20261020.htm</t>
        </r>
      </text>
    </comment>
    <comment ref="I34" authorId="0" shapeId="0" xr:uid="{3E19E3E3-C0DA-41DC-9E7E-3E27BD574A8F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Operations, Basic shares (millions), Q3 2026. https://www.sec.gov/Archives/edgar/data/0000101829/000010182926000030/rtx-20261020.htm</t>
        </r>
      </text>
    </comment>
    <comment ref="B41" authorId="0" shapeId="0" xr:uid="{881E258C-5EED-4587-BE1F-926C8274A920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Collins Aerospace, FY2021. https://www.sec.gov/Archives/edgar/data/101829/000010182924000008/rtx-20231231.htm</t>
        </r>
      </text>
    </comment>
    <comment ref="C41" authorId="0" shapeId="0" xr:uid="{F3043921-F21B-4F60-A9BB-32829671252B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Collins Aerospace, FY2022. https://www.sec.gov/Archives/edgar/data/101829/000010182924000008/rtx-20231231.htm</t>
        </r>
      </text>
    </comment>
    <comment ref="D41" authorId="0" shapeId="0" xr:uid="{F2FF1B3A-9E95-4155-8CD5-36DF04A5F0FF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Collins Aerospace, FY2023. https://www.sec.gov/Archives/edgar/data/101829/000010182926000006/rtx-20251231.htm</t>
        </r>
      </text>
    </comment>
    <comment ref="E41" authorId="0" shapeId="0" xr:uid="{D701CA8A-9920-4C4A-B72E-38BA983CBA8E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Collins Aerospace, FY2024. https://www.sec.gov/Archives/edgar/data/101829/000010182926000006/rtx-20251231.htm</t>
        </r>
      </text>
    </comment>
    <comment ref="F41" authorId="0" shapeId="0" xr:uid="{52B323B1-BFA0-4F60-BB32-4E3DA3408E70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Collins Aerospace, FY2025. https://www.sec.gov/Archives/edgar/data/101829/000010182926000006/rtx-20251231.htm</t>
        </r>
      </text>
    </comment>
    <comment ref="G41" authorId="0" shapeId="0" xr:uid="{69191866-BD0D-430A-8E2F-59728A0DB2D0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Collins Aerospace, 9M 2025. https://www.sec.gov/Archives/edgar/data/0000101829/000010182926000030/rtx-20261020.htm</t>
        </r>
      </text>
    </comment>
    <comment ref="H41" authorId="0" shapeId="0" xr:uid="{02CCC88F-7C99-4C7D-B543-BF67ED19B827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Collins Aerospace, 9M 2026. https://www.sec.gov/Archives/edgar/data/0000101829/000010182926000030/rtx-20261020.htm</t>
        </r>
      </text>
    </comment>
    <comment ref="I41" authorId="0" shapeId="0" xr:uid="{8A7DC11D-64C5-4B0C-8BC0-F9ABD35B4DFB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Collins Aerospace, Q3 2026. https://www.sec.gov/Archives/edgar/data/0000101829/000010182926000030/rtx-20261020.htm</t>
        </r>
      </text>
    </comment>
    <comment ref="B42" authorId="0" shapeId="0" xr:uid="{7D248021-A0A0-4C04-8AE5-5C4A8B951358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Pratt &amp; Whitney, FY2021. https://www.sec.gov/Archives/edgar/data/101829/000010182924000008/rtx-20231231.htm</t>
        </r>
      </text>
    </comment>
    <comment ref="C42" authorId="0" shapeId="0" xr:uid="{3BBEED0A-1926-45D7-A13E-742414F7BE4E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Pratt &amp; Whitney, FY2022. https://www.sec.gov/Archives/edgar/data/101829/000010182924000008/rtx-20231231.htm</t>
        </r>
      </text>
    </comment>
    <comment ref="D42" authorId="0" shapeId="0" xr:uid="{BCB34955-904B-41D3-9E74-EEA9A9508A4C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Pratt &amp; Whitney, FY2023. https://www.sec.gov/Archives/edgar/data/101829/000010182926000006/rtx-20251231.htm</t>
        </r>
      </text>
    </comment>
    <comment ref="E42" authorId="0" shapeId="0" xr:uid="{786EA4B2-574C-4308-B3C0-C6C64DEA9688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Pratt &amp; Whitney, FY2024. https://www.sec.gov/Archives/edgar/data/101829/000010182926000006/rtx-20251231.htm</t>
        </r>
      </text>
    </comment>
    <comment ref="F42" authorId="0" shapeId="0" xr:uid="{BEDABAC8-2E2C-4C1D-B83F-1CC1B13C9DBA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Pratt &amp; Whitney, FY2025. https://www.sec.gov/Archives/edgar/data/101829/000010182926000006/rtx-20251231.htm</t>
        </r>
      </text>
    </comment>
    <comment ref="G42" authorId="0" shapeId="0" xr:uid="{BDC919CC-767F-4643-A47B-A19A11ADB6CF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Pratt &amp; Whitney, 9M 2025. https://www.sec.gov/Archives/edgar/data/0000101829/000010182926000030/rtx-20261020.htm</t>
        </r>
      </text>
    </comment>
    <comment ref="H42" authorId="0" shapeId="0" xr:uid="{1704E47B-0F2F-4BE5-99D1-CCA8031A01A4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Pratt &amp; Whitney, 9M 2026. https://www.sec.gov/Archives/edgar/data/0000101829/000010182926000030/rtx-20261020.htm</t>
        </r>
      </text>
    </comment>
    <comment ref="I42" authorId="0" shapeId="0" xr:uid="{9F778868-EA91-486D-8421-A4E6C0F5400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Pratt &amp; Whitney, Q3 2026. https://www.sec.gov/Archives/edgar/data/0000101829/000010182926000030/rtx-20261020.htm</t>
        </r>
      </text>
    </comment>
    <comment ref="B43" authorId="0" shapeId="0" xr:uid="{92C8BA7B-8B81-46FE-8C4F-EC75D5DA7C9F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Raytheon, FY2021. https://www.sec.gov/Archives/edgar/data/101829/000010182924000008/rtx-20231231.htm</t>
        </r>
      </text>
    </comment>
    <comment ref="C43" authorId="0" shapeId="0" xr:uid="{0421ED6A-CA93-4651-BFEF-3DFAD1D936CE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Raytheon, FY2022. https://www.sec.gov/Archives/edgar/data/101829/000010182924000008/rtx-20231231.htm</t>
        </r>
      </text>
    </comment>
    <comment ref="D43" authorId="0" shapeId="0" xr:uid="{C5541EBB-B2A3-4074-A487-11EB375CBC98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Raytheon, FY2023. https://www.sec.gov/Archives/edgar/data/101829/000010182926000006/rtx-20251231.htm</t>
        </r>
      </text>
    </comment>
    <comment ref="E43" authorId="0" shapeId="0" xr:uid="{38C260D9-4A0F-4FF2-A086-53DDD4AB1259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Raytheon, FY2024. https://www.sec.gov/Archives/edgar/data/101829/000010182926000006/rtx-20251231.htm</t>
        </r>
      </text>
    </comment>
    <comment ref="F43" authorId="0" shapeId="0" xr:uid="{A021614E-7BB5-4D97-BEA7-A267A2A66747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Raytheon, FY2025. https://www.sec.gov/Archives/edgar/data/101829/000010182926000006/rtx-20251231.htm</t>
        </r>
      </text>
    </comment>
    <comment ref="G43" authorId="0" shapeId="0" xr:uid="{C871CF00-52AC-4937-A869-F324E52FEE2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Raytheon, 9M 2025. https://www.sec.gov/Archives/edgar/data/0000101829/000010182926000030/rtx-20261020.htm</t>
        </r>
      </text>
    </comment>
    <comment ref="H43" authorId="0" shapeId="0" xr:uid="{A4184CB8-E32A-4017-B4BF-F102634C8082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Raytheon, 9M 2026. https://www.sec.gov/Archives/edgar/data/0000101829/000010182926000030/rtx-20261020.htm</t>
        </r>
      </text>
    </comment>
    <comment ref="I43" authorId="0" shapeId="0" xr:uid="{C90C3913-EAD4-48D7-89C8-1A20AF592E0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Raytheon, Q3 2026. https://www.sec.gov/Archives/edgar/data/0000101829/000010182926000030/rtx-20261020.htm</t>
        </r>
      </text>
    </comment>
    <comment ref="B45" authorId="0" shapeId="0" xr:uid="{88924518-A8A0-43E9-873B-ED8C16A07AE4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Eliminations and other, FY2021. https://www.sec.gov/Archives/edgar/data/101829/000010182924000008/rtx-20231231.htm</t>
        </r>
      </text>
    </comment>
    <comment ref="C45" authorId="0" shapeId="0" xr:uid="{35B47E5A-DE52-418F-8080-107D9DA92FBD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Eliminations and other, FY2022. https://www.sec.gov/Archives/edgar/data/101829/000010182924000008/rtx-20231231.htm</t>
        </r>
      </text>
    </comment>
    <comment ref="D45" authorId="0" shapeId="0" xr:uid="{FA4214D1-C057-40FB-8A72-55551208FDED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Eliminations and other, FY2023. https://www.sec.gov/Archives/edgar/data/101829/000010182926000006/rtx-20251231.htm</t>
        </r>
      </text>
    </comment>
    <comment ref="E45" authorId="0" shapeId="0" xr:uid="{0B96A73E-A11A-4DD9-8933-4CB8B800F0E1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Eliminations and other, FY2024. https://www.sec.gov/Archives/edgar/data/101829/000010182926000006/rtx-20251231.htm</t>
        </r>
      </text>
    </comment>
    <comment ref="F45" authorId="0" shapeId="0" xr:uid="{39A4B2F9-7832-4B1C-95FC-07E23088AD2E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Eliminations and other, FY2025. https://www.sec.gov/Archives/edgar/data/101829/000010182926000006/rtx-20251231.htm</t>
        </r>
      </text>
    </comment>
    <comment ref="G45" authorId="0" shapeId="0" xr:uid="{77CC4F1C-9A57-44D0-806C-EACBC6F26D91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Eliminations and other, 9M 2025. https://www.sec.gov/Archives/edgar/data/0000101829/000010182926000030/rtx-20261020.htm</t>
        </r>
      </text>
    </comment>
    <comment ref="H45" authorId="0" shapeId="0" xr:uid="{70F72943-E7DB-4BAB-98CE-6CED15299128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Eliminations and other, 9M 2026. https://www.sec.gov/Archives/edgar/data/0000101829/000010182926000030/rtx-20261020.htm</t>
        </r>
      </text>
    </comment>
    <comment ref="I45" authorId="0" shapeId="0" xr:uid="{14AA5F8B-9C2E-4A59-99DC-6F74353A671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Eliminations and other, Q3 2026. https://www.sec.gov/Archives/edgar/data/0000101829/000010182926000030/rtx-20261020.htm</t>
        </r>
      </text>
    </comment>
    <comment ref="B48" authorId="0" shapeId="0" xr:uid="{AD82ECE1-57A7-4A11-8C72-96A10A00F66A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Collins Aerospace, FY2021. https://www.sec.gov/Archives/edgar/data/101829/000010182924000008/rtx-20231231.htm</t>
        </r>
      </text>
    </comment>
    <comment ref="C48" authorId="0" shapeId="0" xr:uid="{D77E892A-B0C6-4104-B55F-19D0DFCCFBE3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Collins Aerospace, FY2022. https://www.sec.gov/Archives/edgar/data/101829/000010182924000008/rtx-20231231.htm</t>
        </r>
      </text>
    </comment>
    <comment ref="D48" authorId="0" shapeId="0" xr:uid="{8538DCFA-8606-4E49-AC02-330F3F6A2950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Collins Aerospace, FY2023. https://www.sec.gov/Archives/edgar/data/101829/000010182926000006/rtx-20251231.htm</t>
        </r>
      </text>
    </comment>
    <comment ref="E48" authorId="0" shapeId="0" xr:uid="{6B1E8548-EDE1-4E14-821A-C8FE2C1A5827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Collins Aerospace, FY2024. https://www.sec.gov/Archives/edgar/data/101829/000010182926000006/rtx-20251231.htm</t>
        </r>
      </text>
    </comment>
    <comment ref="F48" authorId="0" shapeId="0" xr:uid="{FFD207B1-DBD9-4D2D-AB1D-F780BAD88C44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Collins Aerospace, FY2025. https://www.sec.gov/Archives/edgar/data/101829/000010182926000006/rtx-20251231.htm</t>
        </r>
      </text>
    </comment>
    <comment ref="G48" authorId="0" shapeId="0" xr:uid="{78368727-EACB-4B3E-AD38-1649F3D28888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Collins Aerospace, 9M 2025. https://www.sec.gov/Archives/edgar/data/0000101829/000010182926000030/rtx-20261020.htm</t>
        </r>
      </text>
    </comment>
    <comment ref="H48" authorId="0" shapeId="0" xr:uid="{44D5B258-2E20-48F9-9F22-29859154976A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Collins Aerospace, 9M 2026. https://www.sec.gov/Archives/edgar/data/0000101829/000010182926000030/rtx-20261020.htm</t>
        </r>
      </text>
    </comment>
    <comment ref="I48" authorId="0" shapeId="0" xr:uid="{5C02D083-107A-40D5-8845-55EBD63A825F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Collins Aerospace, Q3 2026. https://www.sec.gov/Archives/edgar/data/0000101829/000010182926000030/rtx-20261020.htm</t>
        </r>
      </text>
    </comment>
    <comment ref="B49" authorId="0" shapeId="0" xr:uid="{CCF82D71-27F7-4089-A7D1-2EBA05F629DF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Pratt &amp; Whitney, FY2021. https://www.sec.gov/Archives/edgar/data/101829/000010182924000008/rtx-20231231.htm</t>
        </r>
      </text>
    </comment>
    <comment ref="C49" authorId="0" shapeId="0" xr:uid="{8B545E11-26F1-4023-B2D2-5E47F4D06597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Pratt &amp; Whitney, FY2022. https://www.sec.gov/Archives/edgar/data/101829/000010182924000008/rtx-20231231.htm</t>
        </r>
      </text>
    </comment>
    <comment ref="D49" authorId="0" shapeId="0" xr:uid="{2934F0C0-9AB8-4F6B-8EC3-EFC1A791D584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Pratt &amp; Whitney, FY2023. https://www.sec.gov/Archives/edgar/data/101829/000010182926000006/rtx-20251231.htm</t>
        </r>
      </text>
    </comment>
    <comment ref="E49" authorId="0" shapeId="0" xr:uid="{5ED0A746-6559-49D0-8C80-143FA655F798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Pratt &amp; Whitney, FY2024. https://www.sec.gov/Archives/edgar/data/101829/000010182926000006/rtx-20251231.htm</t>
        </r>
      </text>
    </comment>
    <comment ref="F49" authorId="0" shapeId="0" xr:uid="{4B5ED6E9-3E84-4E2D-AEBB-A12CD4526E0C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Pratt &amp; Whitney, FY2025. https://www.sec.gov/Archives/edgar/data/101829/000010182926000006/rtx-20251231.htm</t>
        </r>
      </text>
    </comment>
    <comment ref="G49" authorId="0" shapeId="0" xr:uid="{3349CFC7-2A4D-447C-A562-2D82127B3512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Pratt &amp; Whitney, 9M 2025. https://www.sec.gov/Archives/edgar/data/0000101829/000010182926000030/rtx-20261020.htm</t>
        </r>
      </text>
    </comment>
    <comment ref="H49" authorId="0" shapeId="0" xr:uid="{0D187473-E303-441B-9A51-CD2283ABA3C5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Pratt &amp; Whitney, 9M 2026. https://www.sec.gov/Archives/edgar/data/0000101829/000010182926000030/rtx-20261020.htm</t>
        </r>
      </text>
    </comment>
    <comment ref="I49" authorId="0" shapeId="0" xr:uid="{88373EE9-CA5A-4E63-A008-147269755A05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Pratt &amp; Whitney, Q3 2026. https://www.sec.gov/Archives/edgar/data/0000101829/000010182926000030/rtx-20261020.htm</t>
        </r>
      </text>
    </comment>
    <comment ref="B50" authorId="0" shapeId="0" xr:uid="{CD874AA1-152B-4FF8-95C6-A7AF70AEE406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Raytheon, FY2021. https://www.sec.gov/Archives/edgar/data/101829/000010182924000008/rtx-20231231.htm</t>
        </r>
      </text>
    </comment>
    <comment ref="C50" authorId="0" shapeId="0" xr:uid="{0E9A9056-442D-477F-BD7B-F1EC5E443AF0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Raytheon, FY2022. https://www.sec.gov/Archives/edgar/data/101829/000010182924000008/rtx-20231231.htm</t>
        </r>
      </text>
    </comment>
    <comment ref="D50" authorId="0" shapeId="0" xr:uid="{E0FDBC4D-7F6C-4F7C-B0C8-5E4AEA96B053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Raytheon, FY2023. https://www.sec.gov/Archives/edgar/data/101829/000010182926000006/rtx-20251231.htm</t>
        </r>
      </text>
    </comment>
    <comment ref="E50" authorId="0" shapeId="0" xr:uid="{1F1774FB-B925-4C01-A074-27571820731B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Raytheon, FY2024. https://www.sec.gov/Archives/edgar/data/101829/000010182926000006/rtx-20251231.htm</t>
        </r>
      </text>
    </comment>
    <comment ref="F50" authorId="0" shapeId="0" xr:uid="{6D275EAF-53D6-4052-B606-158A5889D02D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Raytheon, FY2025. https://www.sec.gov/Archives/edgar/data/101829/000010182926000006/rtx-20251231.htm</t>
        </r>
      </text>
    </comment>
    <comment ref="G50" authorId="0" shapeId="0" xr:uid="{CD3AF48F-2C94-4194-BE83-435C5B8ED1B3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Raytheon, 9M 2025. https://www.sec.gov/Archives/edgar/data/0000101829/000010182926000030/rtx-20261020.htm</t>
        </r>
      </text>
    </comment>
    <comment ref="H50" authorId="0" shapeId="0" xr:uid="{463AFD11-EEB3-457D-AD57-1F59DA531816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Raytheon, 9M 2026. https://www.sec.gov/Archives/edgar/data/0000101829/000010182926000030/rtx-20261020.htm</t>
        </r>
      </text>
    </comment>
    <comment ref="I50" authorId="0" shapeId="0" xr:uid="{42A01FAB-21CE-4801-8741-1A52CEDC92F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Raytheon, Q3 2026. https://www.sec.gov/Archives/edgar/data/0000101829/000010182926000030/rtx-20261020.htm</t>
        </r>
      </text>
    </comment>
    <comment ref="B52" authorId="0" shapeId="0" xr:uid="{BA0C5F4E-E7E3-4ACB-AD23-D3F65D406CC7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Eliminations and other, FY2021. https://www.sec.gov/Archives/edgar/data/101829/000010182924000008/rtx-20231231.htm</t>
        </r>
      </text>
    </comment>
    <comment ref="C52" authorId="0" shapeId="0" xr:uid="{8B215F30-1D92-4E6C-A7E7-34A415B67701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Eliminations and other, FY2022. https://www.sec.gov/Archives/edgar/data/101829/000010182924000008/rtx-20231231.htm</t>
        </r>
      </text>
    </comment>
    <comment ref="D52" authorId="0" shapeId="0" xr:uid="{54CB9392-873C-4C87-A8EA-A6AE7B13974B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Eliminations and other, FY2023. https://www.sec.gov/Archives/edgar/data/101829/000010182926000006/rtx-20251231.htm</t>
        </r>
      </text>
    </comment>
    <comment ref="E52" authorId="0" shapeId="0" xr:uid="{E6D2BC67-8AB4-4487-9D52-7D5462105E49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Eliminations and other, FY2024. https://www.sec.gov/Archives/edgar/data/101829/000010182926000006/rtx-20251231.htm</t>
        </r>
      </text>
    </comment>
    <comment ref="F52" authorId="0" shapeId="0" xr:uid="{0C36B2FF-AA90-4524-BE66-39CE77B48B4E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Eliminations and other, FY2025. https://www.sec.gov/Archives/edgar/data/101829/000010182926000006/rtx-20251231.htm</t>
        </r>
      </text>
    </comment>
    <comment ref="G52" authorId="0" shapeId="0" xr:uid="{936E1080-2198-4251-AB5A-90DA53523626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Eliminations and other, 9M 2025. https://www.sec.gov/Archives/edgar/data/0000101829/000010182926000030/rtx-20261020.htm</t>
        </r>
      </text>
    </comment>
    <comment ref="H52" authorId="0" shapeId="0" xr:uid="{3088FA3C-F4B5-4361-BF72-212E186A3BB1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Eliminations and other, 9M 2026. https://www.sec.gov/Archives/edgar/data/0000101829/000010182926000030/rtx-20261020.htm</t>
        </r>
      </text>
    </comment>
    <comment ref="I52" authorId="0" shapeId="0" xr:uid="{02722275-349C-4CF1-9C20-1C890320476F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Eliminations and other, Q3 2026. https://www.sec.gov/Archives/edgar/data/0000101829/000010182926000030/rtx-20261020.htm</t>
        </r>
      </text>
    </comment>
    <comment ref="B53" authorId="0" shapeId="0" xr:uid="{5D0F1609-A77E-49F8-A035-9E76C0DD647E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Corporate expenses and other unallocated items, FY2021. https://www.sec.gov/Archives/edgar/data/101829/000010182924000008/rtx-20231231.htm</t>
        </r>
      </text>
    </comment>
    <comment ref="C53" authorId="0" shapeId="0" xr:uid="{10C64803-4BF5-4074-816D-61423B475D3F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Corporate expenses and other unallocated items, FY2022. https://www.sec.gov/Archives/edgar/data/101829/000010182924000008/rtx-20231231.htm</t>
        </r>
      </text>
    </comment>
    <comment ref="D53" authorId="0" shapeId="0" xr:uid="{FE791AC4-26B5-457A-A26C-99ABA7969534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Corporate expenses and other unallocated items, FY2023. https://www.sec.gov/Archives/edgar/data/101829/000010182926000006/rtx-20251231.htm</t>
        </r>
      </text>
    </comment>
    <comment ref="E53" authorId="0" shapeId="0" xr:uid="{DE1D4A28-2795-403D-A3C5-0F9C8389D785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Corporate expenses and other unallocated items, FY2024. https://www.sec.gov/Archives/edgar/data/101829/000010182926000006/rtx-20251231.htm</t>
        </r>
      </text>
    </comment>
    <comment ref="F53" authorId="0" shapeId="0" xr:uid="{472DA36A-5456-4CD9-B10D-7343E0FA1130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Corporate expenses and other unallocated items, FY2025. https://www.sec.gov/Archives/edgar/data/101829/000010182926000006/rtx-20251231.htm</t>
        </r>
      </text>
    </comment>
    <comment ref="G53" authorId="0" shapeId="0" xr:uid="{7EF95034-F276-40E0-B1D2-295481D9C4D3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Corporate expenses and other unallocated items, 9M 2025. https://www.sec.gov/Archives/edgar/data/0000101829/000010182926000030/rtx-20261020.htm</t>
        </r>
      </text>
    </comment>
    <comment ref="H53" authorId="0" shapeId="0" xr:uid="{5788D5A0-31AE-4758-97D0-D7353D6731A0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Corporate expenses and other unallocated items, 9M 2026. https://www.sec.gov/Archives/edgar/data/0000101829/000010182926000030/rtx-20261020.htm</t>
        </r>
      </text>
    </comment>
    <comment ref="I53" authorId="0" shapeId="0" xr:uid="{9BDC2823-A574-498E-824A-C7C41A716912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Corporate expenses and other unallocated items, Q3 2026. https://www.sec.gov/Archives/edgar/data/0000101829/000010182926000030/rtx-20261020.htm</t>
        </r>
      </text>
    </comment>
    <comment ref="B54" authorId="0" shapeId="0" xr:uid="{F71665E3-91F7-499D-BD14-EA5D03FE5CF8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FAS/CAS operating adjustment, FY2021. https://www.sec.gov/Archives/edgar/data/101829/000010182924000008/rtx-20231231.htm</t>
        </r>
      </text>
    </comment>
    <comment ref="C54" authorId="0" shapeId="0" xr:uid="{F506A484-389F-47CE-B83C-06151184C060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FAS/CAS operating adjustment, FY2022. https://www.sec.gov/Archives/edgar/data/101829/000010182924000008/rtx-20231231.htm</t>
        </r>
      </text>
    </comment>
    <comment ref="D54" authorId="0" shapeId="0" xr:uid="{B5332F52-7B34-4FD3-AA79-D462D18CBD6E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FAS/CAS operating adjustment, FY2023. https://www.sec.gov/Archives/edgar/data/101829/000010182926000006/rtx-20251231.htm</t>
        </r>
      </text>
    </comment>
    <comment ref="E54" authorId="0" shapeId="0" xr:uid="{AC374DD5-57C8-427A-A5AC-1999944ABA1F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FAS/CAS operating adjustment, FY2024. https://www.sec.gov/Archives/edgar/data/101829/000010182926000006/rtx-20251231.htm</t>
        </r>
      </text>
    </comment>
    <comment ref="F54" authorId="0" shapeId="0" xr:uid="{4C194BCC-F71E-44F4-8ABA-4139BDECAC2F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FAS/CAS operating adjustment, FY2025. https://www.sec.gov/Archives/edgar/data/101829/000010182926000006/rtx-20251231.htm</t>
        </r>
      </text>
    </comment>
    <comment ref="G54" authorId="0" shapeId="0" xr:uid="{480FF5F5-E3BF-4C9E-A46C-7C32B3B585E6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FAS/CAS operating adjustment, 9M 2025. https://www.sec.gov/Archives/edgar/data/0000101829/000010182926000030/rtx-20261020.htm</t>
        </r>
      </text>
    </comment>
    <comment ref="H54" authorId="0" shapeId="0" xr:uid="{5AC5C77A-4278-4258-A5C4-3BC0631B2C0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FAS/CAS operating adjustment, 9M 2026. https://www.sec.gov/Archives/edgar/data/0000101829/000010182926000030/rtx-20261020.htm</t>
        </r>
      </text>
    </comment>
    <comment ref="I54" authorId="0" shapeId="0" xr:uid="{74AB81C5-1D94-44A7-BFED-F3F44B68E1C1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FAS/CAS operating adjustment, Q3 2026. https://www.sec.gov/Archives/edgar/data/0000101829/000010182926000030/rtx-20261020.htm</t>
        </r>
      </text>
    </comment>
    <comment ref="B55" authorId="0" shapeId="0" xr:uid="{3ACB2D01-659B-4475-A347-FE1BB4E87218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Acquisition accounting adjustments, FY2021. https://www.sec.gov/Archives/edgar/data/101829/000010182924000008/rtx-20231231.htm</t>
        </r>
      </text>
    </comment>
    <comment ref="C55" authorId="0" shapeId="0" xr:uid="{18155288-1ED1-42B6-8462-003B39AD8D88}">
      <text>
        <r>
          <rPr>
            <sz val="11"/>
            <color theme="1"/>
            <rFont val="Calibri"/>
            <family val="2"/>
            <scheme val="minor"/>
          </rPr>
          <t>Source: SEC EDGAR, RTX 10-K FY2023, Segment Financial Data note, Acquisition accounting adjustments, FY2022. https://www.sec.gov/Archives/edgar/data/101829/000010182924000008/rtx-20231231.htm</t>
        </r>
      </text>
    </comment>
    <comment ref="D55" authorId="0" shapeId="0" xr:uid="{BD60EB9A-BCED-4C3B-91D3-800851E13A72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Acquisition accounting adjustments, FY2023. https://www.sec.gov/Archives/edgar/data/101829/000010182926000006/rtx-20251231.htm</t>
        </r>
      </text>
    </comment>
    <comment ref="E55" authorId="0" shapeId="0" xr:uid="{70D10288-3F0E-415B-9614-26CA583F2898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Acquisition accounting adjustments, FY2024. https://www.sec.gov/Archives/edgar/data/101829/000010182926000006/rtx-20251231.htm</t>
        </r>
      </text>
    </comment>
    <comment ref="F55" authorId="0" shapeId="0" xr:uid="{A2F6507E-33B0-473F-831C-8728139E64FF}">
      <text>
        <r>
          <rPr>
            <sz val="11"/>
            <color theme="1"/>
            <rFont val="Calibri"/>
            <family val="2"/>
            <scheme val="minor"/>
          </rPr>
          <t>Source: SEC EDGAR, RTX 10-K FY2025, Segment Financial Data note, Acquisition accounting adjustments, FY2025. https://www.sec.gov/Archives/edgar/data/101829/000010182926000006/rtx-20251231.htm</t>
        </r>
      </text>
    </comment>
    <comment ref="G55" authorId="0" shapeId="0" xr:uid="{65B0E0F7-0F50-4A67-964F-EDDF247B6C6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Acquisition accounting adjustments, 9M 2025. https://www.sec.gov/Archives/edgar/data/0000101829/000010182926000030/rtx-20261020.htm</t>
        </r>
      </text>
    </comment>
    <comment ref="H55" authorId="0" shapeId="0" xr:uid="{757FD604-06CC-41E6-91BC-B9AD6BE0D29B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Acquisition accounting adjustments, 9M 2026. https://www.sec.gov/Archives/edgar/data/0000101829/000010182926000030/rtx-20261020.htm</t>
        </r>
      </text>
    </comment>
    <comment ref="I55" authorId="0" shapeId="0" xr:uid="{9D25276F-C7AC-45F3-A9FA-CE2034BCEF86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Financial Data note, Acquisition accounting adjustments, Q3 2026. https://www.sec.gov/Archives/edgar/data/0000101829/000010182926000030/rtx-20261020.htm</t>
        </r>
      </text>
    </comment>
    <comment ref="B64" authorId="0" shapeId="0" xr:uid="{0F55C37C-61F1-447E-8BEB-B080381332FF}">
      <text>
        <r>
          <rPr>
            <sz val="11"/>
            <color theme="1"/>
            <rFont val="Calibri"/>
            <family val="2"/>
            <scheme val="minor"/>
          </rPr>
          <t>Source: SEC EDGAR, RTX 10-K FY2023, Segment capex and D&amp;A table, D&amp;A: Collins Aerospace, FY2021. https://www.sec.gov/Archives/edgar/data/101829/000010182924000008/rtx-20231231.htm</t>
        </r>
      </text>
    </comment>
    <comment ref="C64" authorId="0" shapeId="0" xr:uid="{08D6ECD1-837B-4B3D-BDB7-78FC40D05653}">
      <text>
        <r>
          <rPr>
            <sz val="11"/>
            <color theme="1"/>
            <rFont val="Calibri"/>
            <family val="2"/>
            <scheme val="minor"/>
          </rPr>
          <t>Source: SEC EDGAR, RTX 10-K FY2023, Segment capex and D&amp;A table, D&amp;A: Collins Aerospace, FY2022. https://www.sec.gov/Archives/edgar/data/101829/000010182924000008/rtx-20231231.htm</t>
        </r>
      </text>
    </comment>
    <comment ref="D64" authorId="0" shapeId="0" xr:uid="{0313D4B8-1857-4525-8E26-C527DCD11C73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D&amp;A: Collins Aerospace, FY2023. https://www.sec.gov/Archives/edgar/data/101829/000010182926000006/rtx-20251231.htm</t>
        </r>
      </text>
    </comment>
    <comment ref="E64" authorId="0" shapeId="0" xr:uid="{26376AD8-A9C8-40B7-9362-0FCA4348A22C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D&amp;A: Collins Aerospace, FY2024. https://www.sec.gov/Archives/edgar/data/101829/000010182926000006/rtx-20251231.htm</t>
        </r>
      </text>
    </comment>
    <comment ref="F64" authorId="0" shapeId="0" xr:uid="{E539B3C3-0242-4A91-A389-0AE73E61C759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D&amp;A: Collins Aerospace, FY2025. https://www.sec.gov/Archives/edgar/data/101829/000010182926000006/rtx-20251231.htm</t>
        </r>
      </text>
    </comment>
    <comment ref="B65" authorId="0" shapeId="0" xr:uid="{C4C60344-3D0F-45D4-90F4-7505F003D4AC}">
      <text>
        <r>
          <rPr>
            <sz val="11"/>
            <color theme="1"/>
            <rFont val="Calibri"/>
            <family val="2"/>
            <scheme val="minor"/>
          </rPr>
          <t>Source: SEC EDGAR, RTX 10-K FY2023, Segment capex and D&amp;A table, D&amp;A: Pratt &amp; Whitney, FY2021. https://www.sec.gov/Archives/edgar/data/101829/000010182924000008/rtx-20231231.htm</t>
        </r>
      </text>
    </comment>
    <comment ref="C65" authorId="0" shapeId="0" xr:uid="{F040CAB7-8D7F-4113-81CE-DFA6BCD5535B}">
      <text>
        <r>
          <rPr>
            <sz val="11"/>
            <color theme="1"/>
            <rFont val="Calibri"/>
            <family val="2"/>
            <scheme val="minor"/>
          </rPr>
          <t>Source: SEC EDGAR, RTX 10-K FY2023, Segment capex and D&amp;A table, D&amp;A: Pratt &amp; Whitney, FY2022. https://www.sec.gov/Archives/edgar/data/101829/000010182924000008/rtx-20231231.htm</t>
        </r>
      </text>
    </comment>
    <comment ref="D65" authorId="0" shapeId="0" xr:uid="{F0DA4DED-8627-4798-A909-1715D193E6A0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D&amp;A: Pratt &amp; Whitney, FY2023. https://www.sec.gov/Archives/edgar/data/101829/000010182926000006/rtx-20251231.htm</t>
        </r>
      </text>
    </comment>
    <comment ref="E65" authorId="0" shapeId="0" xr:uid="{8CA7CC66-7375-4657-B40D-C1C3D6307490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D&amp;A: Pratt &amp; Whitney, FY2024. https://www.sec.gov/Archives/edgar/data/101829/000010182926000006/rtx-20251231.htm</t>
        </r>
      </text>
    </comment>
    <comment ref="F65" authorId="0" shapeId="0" xr:uid="{7170DAF4-1EC4-4449-8594-9D9E1D46E7ED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D&amp;A: Pratt &amp; Whitney, FY2025. https://www.sec.gov/Archives/edgar/data/101829/000010182926000006/rtx-20251231.htm</t>
        </r>
      </text>
    </comment>
    <comment ref="B66" authorId="0" shapeId="0" xr:uid="{68C68243-85F1-443A-B2A8-D904F9DAB707}">
      <text>
        <r>
          <rPr>
            <sz val="11"/>
            <color theme="1"/>
            <rFont val="Calibri"/>
            <family val="2"/>
            <scheme val="minor"/>
          </rPr>
          <t>Source: SEC EDGAR, RTX 10-K FY2023, Segment capex and D&amp;A table, D&amp;A: Raytheon, FY2021. https://www.sec.gov/Archives/edgar/data/101829/000010182924000008/rtx-20231231.htm</t>
        </r>
      </text>
    </comment>
    <comment ref="C66" authorId="0" shapeId="0" xr:uid="{62EDD8C6-5C5F-44B3-8494-3526D2660212}">
      <text>
        <r>
          <rPr>
            <sz val="11"/>
            <color theme="1"/>
            <rFont val="Calibri"/>
            <family val="2"/>
            <scheme val="minor"/>
          </rPr>
          <t>Source: SEC EDGAR, RTX 10-K FY2023, Segment capex and D&amp;A table, D&amp;A: Raytheon, FY2022. https://www.sec.gov/Archives/edgar/data/101829/000010182924000008/rtx-20231231.htm</t>
        </r>
      </text>
    </comment>
    <comment ref="D66" authorId="0" shapeId="0" xr:uid="{4492CBD6-F160-42E5-87E5-3C7818B59E5E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D&amp;A: Raytheon, FY2023. https://www.sec.gov/Archives/edgar/data/101829/000010182926000006/rtx-20251231.htm</t>
        </r>
      </text>
    </comment>
    <comment ref="E66" authorId="0" shapeId="0" xr:uid="{F8C5DBEE-3DAA-46E3-B662-8AEA3AE10F18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D&amp;A: Raytheon, FY2024. https://www.sec.gov/Archives/edgar/data/101829/000010182926000006/rtx-20251231.htm</t>
        </r>
      </text>
    </comment>
    <comment ref="F66" authorId="0" shapeId="0" xr:uid="{76289A1D-CFB1-410F-8C47-82A1615ED600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D&amp;A: Raytheon, FY2025. https://www.sec.gov/Archives/edgar/data/101829/000010182926000006/rtx-20251231.htm</t>
        </r>
      </text>
    </comment>
    <comment ref="B67" authorId="0" shapeId="0" xr:uid="{A18B115B-F59B-4923-88B5-8F360550FCCE}">
      <text>
        <r>
          <rPr>
            <sz val="11"/>
            <color theme="1"/>
            <rFont val="Calibri"/>
            <family val="2"/>
            <scheme val="minor"/>
          </rPr>
          <t>Source: SEC EDGAR, RTX 10-K FY2023, Segment capex and D&amp;A table, D&amp;A: Corporate, eliminations and other, FY2021. https://www.sec.gov/Archives/edgar/data/101829/000010182924000008/rtx-20231231.htm</t>
        </r>
      </text>
    </comment>
    <comment ref="C67" authorId="0" shapeId="0" xr:uid="{110BC577-5923-4C5B-887A-88A1005DAC54}">
      <text>
        <r>
          <rPr>
            <sz val="11"/>
            <color theme="1"/>
            <rFont val="Calibri"/>
            <family val="2"/>
            <scheme val="minor"/>
          </rPr>
          <t>Source: SEC EDGAR, RTX 10-K FY2023, Segment capex and D&amp;A table, D&amp;A: Corporate, eliminations and other, FY2022. https://www.sec.gov/Archives/edgar/data/101829/000010182924000008/rtx-20231231.htm</t>
        </r>
      </text>
    </comment>
    <comment ref="D67" authorId="0" shapeId="0" xr:uid="{B2D76288-6636-4574-9B43-5E9A83E52279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D&amp;A: Corporate, eliminations and other, FY2023. https://www.sec.gov/Archives/edgar/data/101829/000010182926000006/rtx-20251231.htm</t>
        </r>
      </text>
    </comment>
    <comment ref="E67" authorId="0" shapeId="0" xr:uid="{178E9D86-D30D-41F4-84EE-D2567E10F4A8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D&amp;A: Corporate, eliminations and other, FY2024. https://www.sec.gov/Archives/edgar/data/101829/000010182926000006/rtx-20251231.htm</t>
        </r>
      </text>
    </comment>
    <comment ref="F67" authorId="0" shapeId="0" xr:uid="{A99B6479-3988-4BCF-A3AD-7BE186BAB050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D&amp;A: Corporate, eliminations and other, FY2025. https://www.sec.gov/Archives/edgar/data/101829/000010182926000006/rtx-20251231.htm</t>
        </r>
      </text>
    </comment>
    <comment ref="B68" authorId="0" shapeId="0" xr:uid="{C35153C0-CAFA-464B-B7DD-3C6973D48FD7}">
      <text>
        <r>
          <rPr>
            <sz val="11"/>
            <color theme="1"/>
            <rFont val="Calibri"/>
            <family val="2"/>
            <scheme val="minor"/>
          </rPr>
          <t>Source: SEC EDGAR, RTX 10-K FY2023, Segment capex and D&amp;A table, D&amp;A: Acquisition accounting adjustments, FY2021. https://www.sec.gov/Archives/edgar/data/101829/000010182924000008/rtx-20231231.htm</t>
        </r>
      </text>
    </comment>
    <comment ref="C68" authorId="0" shapeId="0" xr:uid="{30AAA3E5-72AD-4C60-8B52-A0792026AA20}">
      <text>
        <r>
          <rPr>
            <sz val="11"/>
            <color theme="1"/>
            <rFont val="Calibri"/>
            <family val="2"/>
            <scheme val="minor"/>
          </rPr>
          <t>Source: SEC EDGAR, RTX 10-K FY2023, Segment capex and D&amp;A table, D&amp;A: Acquisition accounting adjustments, FY2022. https://www.sec.gov/Archives/edgar/data/101829/000010182924000008/rtx-20231231.htm</t>
        </r>
      </text>
    </comment>
    <comment ref="D68" authorId="0" shapeId="0" xr:uid="{8F00E2E9-9965-4589-991E-8D6BBC7C7B20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D&amp;A: Acquisition accounting adjustments, FY2023. https://www.sec.gov/Archives/edgar/data/101829/000010182926000006/rtx-20251231.htm</t>
        </r>
      </text>
    </comment>
    <comment ref="E68" authorId="0" shapeId="0" xr:uid="{BD88E778-0011-4614-A770-630A2BFB9C18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D&amp;A: Acquisition accounting adjustments, FY2024. https://www.sec.gov/Archives/edgar/data/101829/000010182926000006/rtx-20251231.htm</t>
        </r>
      </text>
    </comment>
    <comment ref="F68" authorId="0" shapeId="0" xr:uid="{6115B034-6DD0-4CBA-8ADC-DFAFF7082F69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D&amp;A: Acquisition accounting adjustments, FY2025. https://www.sec.gov/Archives/edgar/data/101829/000010182926000006/rtx-20251231.htm</t>
        </r>
      </text>
    </comment>
    <comment ref="B69" authorId="0" shapeId="0" xr:uid="{35CD779C-B9B2-42C9-9029-FF6474D511D7}">
      <text>
        <r>
          <rPr>
            <sz val="11"/>
            <color theme="1"/>
            <rFont val="Calibri"/>
            <family val="2"/>
            <scheme val="minor"/>
          </rPr>
          <t>Source: SEC EDGAR, RTX 10-K FY2023, Segment capex and D&amp;A table, Capex: Collins Aerospace, FY2021. https://www.sec.gov/Archives/edgar/data/101829/000010182924000008/rtx-20231231.htm</t>
        </r>
      </text>
    </comment>
    <comment ref="C69" authorId="0" shapeId="0" xr:uid="{633BBCD6-F8F1-4731-AD39-A005AB7E155B}">
      <text>
        <r>
          <rPr>
            <sz val="11"/>
            <color theme="1"/>
            <rFont val="Calibri"/>
            <family val="2"/>
            <scheme val="minor"/>
          </rPr>
          <t>Source: SEC EDGAR, RTX 10-K FY2023, Segment capex and D&amp;A table, Capex: Collins Aerospace, FY2022. https://www.sec.gov/Archives/edgar/data/101829/000010182924000008/rtx-20231231.htm</t>
        </r>
      </text>
    </comment>
    <comment ref="D69" authorId="0" shapeId="0" xr:uid="{ABAD505A-2BD8-4EB0-8D82-B32D910AEA9D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Capex: Collins Aerospace, FY2023. https://www.sec.gov/Archives/edgar/data/101829/000010182926000006/rtx-20251231.htm</t>
        </r>
      </text>
    </comment>
    <comment ref="E69" authorId="0" shapeId="0" xr:uid="{10A5C278-7CDE-4D60-8794-B2726ED1B63E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Capex: Collins Aerospace, FY2024. https://www.sec.gov/Archives/edgar/data/101829/000010182926000006/rtx-20251231.htm</t>
        </r>
      </text>
    </comment>
    <comment ref="F69" authorId="0" shapeId="0" xr:uid="{77049F19-DA91-46A3-BCA7-C6483A865F5D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Capex: Collins Aerospace, FY2025. https://www.sec.gov/Archives/edgar/data/101829/000010182926000006/rtx-20251231.htm</t>
        </r>
      </text>
    </comment>
    <comment ref="B70" authorId="0" shapeId="0" xr:uid="{AC46973D-D63B-4E1B-83A2-C63FCD089F77}">
      <text>
        <r>
          <rPr>
            <sz val="11"/>
            <color theme="1"/>
            <rFont val="Calibri"/>
            <family val="2"/>
            <scheme val="minor"/>
          </rPr>
          <t>Source: SEC EDGAR, RTX 10-K FY2023, Segment capex and D&amp;A table, Capex: Pratt &amp; Whitney, FY2021. https://www.sec.gov/Archives/edgar/data/101829/000010182924000008/rtx-20231231.htm</t>
        </r>
      </text>
    </comment>
    <comment ref="C70" authorId="0" shapeId="0" xr:uid="{B81B69B3-879C-4923-BC30-5764F73F75FD}">
      <text>
        <r>
          <rPr>
            <sz val="11"/>
            <color theme="1"/>
            <rFont val="Calibri"/>
            <family val="2"/>
            <scheme val="minor"/>
          </rPr>
          <t>Source: SEC EDGAR, RTX 10-K FY2023, Segment capex and D&amp;A table, Capex: Pratt &amp; Whitney, FY2022. https://www.sec.gov/Archives/edgar/data/101829/000010182924000008/rtx-20231231.htm</t>
        </r>
      </text>
    </comment>
    <comment ref="D70" authorId="0" shapeId="0" xr:uid="{08B8C98E-1A7E-4587-A33B-448A6587D14C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Capex: Pratt &amp; Whitney, FY2023. https://www.sec.gov/Archives/edgar/data/101829/000010182926000006/rtx-20251231.htm</t>
        </r>
      </text>
    </comment>
    <comment ref="E70" authorId="0" shapeId="0" xr:uid="{103329A9-A7A2-430D-BD71-C69FBD50848A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Capex: Pratt &amp; Whitney, FY2024. https://www.sec.gov/Archives/edgar/data/101829/000010182926000006/rtx-20251231.htm</t>
        </r>
      </text>
    </comment>
    <comment ref="F70" authorId="0" shapeId="0" xr:uid="{356E86AF-F6A8-4826-B74B-899F1C65704B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Capex: Pratt &amp; Whitney, FY2025. https://www.sec.gov/Archives/edgar/data/101829/000010182926000006/rtx-20251231.htm</t>
        </r>
      </text>
    </comment>
    <comment ref="B71" authorId="0" shapeId="0" xr:uid="{D1FF9A10-A01C-4953-B6B0-9157B0EDB3A1}">
      <text>
        <r>
          <rPr>
            <sz val="11"/>
            <color theme="1"/>
            <rFont val="Calibri"/>
            <family val="2"/>
            <scheme val="minor"/>
          </rPr>
          <t>Source: SEC EDGAR, RTX 10-K FY2023, Segment capex and D&amp;A table, Capex: Raytheon, FY2021. https://www.sec.gov/Archives/edgar/data/101829/000010182924000008/rtx-20231231.htm</t>
        </r>
      </text>
    </comment>
    <comment ref="C71" authorId="0" shapeId="0" xr:uid="{EDC1AA73-A99F-47F7-98BE-E688D4064E63}">
      <text>
        <r>
          <rPr>
            <sz val="11"/>
            <color theme="1"/>
            <rFont val="Calibri"/>
            <family val="2"/>
            <scheme val="minor"/>
          </rPr>
          <t>Source: SEC EDGAR, RTX 10-K FY2023, Segment capex and D&amp;A table, Capex: Raytheon, FY2022. https://www.sec.gov/Archives/edgar/data/101829/000010182924000008/rtx-20231231.htm</t>
        </r>
      </text>
    </comment>
    <comment ref="D71" authorId="0" shapeId="0" xr:uid="{397FCBF3-EDF1-493D-BF5B-2F2C3E9B67D6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Capex: Raytheon, FY2023. https://www.sec.gov/Archives/edgar/data/101829/000010182926000006/rtx-20251231.htm</t>
        </r>
      </text>
    </comment>
    <comment ref="E71" authorId="0" shapeId="0" xr:uid="{A8B17895-C9EF-497D-ADB2-CFBAF667691D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Capex: Raytheon, FY2024. https://www.sec.gov/Archives/edgar/data/101829/000010182926000006/rtx-20251231.htm</t>
        </r>
      </text>
    </comment>
    <comment ref="F71" authorId="0" shapeId="0" xr:uid="{9967530A-33D5-479A-B109-F62EC1F8DA5A}">
      <text>
        <r>
          <rPr>
            <sz val="11"/>
            <color theme="1"/>
            <rFont val="Calibri"/>
            <family val="2"/>
            <scheme val="minor"/>
          </rPr>
          <t>Source: SEC EDGAR, RTX 10-K FY2025, Segment capex and D&amp;A table, Capex: Raytheon, FY2025. https://www.sec.gov/Archives/edgar/data/101829/000010182926000006/rtx-20251231.htm</t>
        </r>
      </text>
    </comment>
    <comment ref="B73" authorId="0" shapeId="0" xr:uid="{A2709F34-8AA4-428B-B8D9-807B9D4BCCFF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Collins: U.S. government, FY2021. https://www.sec.gov/Archives/edgar/data/101829/000010182924000008/rtx-20231231.htm</t>
        </r>
      </text>
    </comment>
    <comment ref="C73" authorId="0" shapeId="0" xr:uid="{0141FBE5-F2A4-4507-8A8C-7BA5FE700E30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Collins: U.S. government, FY2022. https://www.sec.gov/Archives/edgar/data/101829/000010182924000008/rtx-20231231.htm</t>
        </r>
      </text>
    </comment>
    <comment ref="D73" authorId="0" shapeId="0" xr:uid="{ADF12E4D-C587-4A35-8E85-07F4D8374F75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Collins: U.S. government, FY2023. https://www.sec.gov/Archives/edgar/data/101829/000010182926000006/rtx-20251231.htm</t>
        </r>
      </text>
    </comment>
    <comment ref="E73" authorId="0" shapeId="0" xr:uid="{231E311D-D66A-44F5-9DDB-6D3DFE2367ED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Collins: U.S. government, FY2024. https://www.sec.gov/Archives/edgar/data/101829/000010182926000006/rtx-20251231.htm</t>
        </r>
      </text>
    </comment>
    <comment ref="F73" authorId="0" shapeId="0" xr:uid="{CF673B08-8504-4727-9592-525C2BE2F161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Collins: U.S. government, FY2025. https://www.sec.gov/Archives/edgar/data/101829/000010182926000006/rtx-20251231.htm</t>
        </r>
      </text>
    </comment>
    <comment ref="B74" authorId="0" shapeId="0" xr:uid="{973D24A0-1B6D-4A5C-AA5A-06F89ED2E537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Collins: foreign military sales via U.S. government, FY2021. https://www.sec.gov/Archives/edgar/data/101829/000010182924000008/rtx-20231231.htm</t>
        </r>
      </text>
    </comment>
    <comment ref="C74" authorId="0" shapeId="0" xr:uid="{E26EFEBD-858D-4DA7-ADC0-803A62231A64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Collins: foreign military sales via U.S. government, FY2022. https://www.sec.gov/Archives/edgar/data/101829/000010182924000008/rtx-20231231.htm</t>
        </r>
      </text>
    </comment>
    <comment ref="D74" authorId="0" shapeId="0" xr:uid="{8A004507-BA27-44BB-A3E0-27B4A15204F2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Collins: foreign military sales via U.S. government, FY2023. https://www.sec.gov/Archives/edgar/data/101829/000010182926000006/rtx-20251231.htm</t>
        </r>
      </text>
    </comment>
    <comment ref="E74" authorId="0" shapeId="0" xr:uid="{6CBBF6D0-7920-4A13-B1A1-9CD03F64E606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Collins: foreign military sales via U.S. government, FY2024. https://www.sec.gov/Archives/edgar/data/101829/000010182926000006/rtx-20251231.htm</t>
        </r>
      </text>
    </comment>
    <comment ref="F74" authorId="0" shapeId="0" xr:uid="{EB883452-89D0-41A2-B289-402219584335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Collins: foreign military sales via U.S. government, FY2025. https://www.sec.gov/Archives/edgar/data/101829/000010182926000006/rtx-20251231.htm</t>
        </r>
      </text>
    </comment>
    <comment ref="B75" authorId="0" shapeId="0" xr:uid="{F7FA5C56-3765-454A-9328-7065E73941F8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Collins: foreign government direct commercial sales, FY2021. https://www.sec.gov/Archives/edgar/data/101829/000010182924000008/rtx-20231231.htm</t>
        </r>
      </text>
    </comment>
    <comment ref="C75" authorId="0" shapeId="0" xr:uid="{B2F09C8C-1CA5-46ED-9E81-575B98885B83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Collins: foreign government direct commercial sales, FY2022. https://www.sec.gov/Archives/edgar/data/101829/000010182924000008/rtx-20231231.htm</t>
        </r>
      </text>
    </comment>
    <comment ref="D75" authorId="0" shapeId="0" xr:uid="{EE9CFC83-9226-4910-9073-9789FBE45D1E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Collins: foreign government direct commercial sales, FY2023. https://www.sec.gov/Archives/edgar/data/101829/000010182926000006/rtx-20251231.htm</t>
        </r>
      </text>
    </comment>
    <comment ref="E75" authorId="0" shapeId="0" xr:uid="{7CEF8175-0E00-44CD-A61B-1838BEDFAFB8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Collins: foreign government direct commercial sales, FY2024. https://www.sec.gov/Archives/edgar/data/101829/000010182926000006/rtx-20251231.htm</t>
        </r>
      </text>
    </comment>
    <comment ref="F75" authorId="0" shapeId="0" xr:uid="{4486556F-FE76-43F5-BE30-6C9F34E1C1A1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Collins: foreign government direct commercial sales, FY2025. https://www.sec.gov/Archives/edgar/data/101829/000010182926000006/rtx-20251231.htm</t>
        </r>
      </text>
    </comment>
    <comment ref="B77" authorId="0" shapeId="0" xr:uid="{95AD4621-E4A1-469E-8882-AA526A77857F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Collins commercial aerospace and other commercial, FY2021. https://www.sec.gov/Archives/edgar/data/101829/000010182924000008/rtx-20231231.htm</t>
        </r>
      </text>
    </comment>
    <comment ref="C77" authorId="0" shapeId="0" xr:uid="{9444EBD4-ABC6-40D6-BD85-8B5F0C1FA905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Collins commercial aerospace and other commercial, FY2022. https://www.sec.gov/Archives/edgar/data/101829/000010182924000008/rtx-20231231.htm</t>
        </r>
      </text>
    </comment>
    <comment ref="D77" authorId="0" shapeId="0" xr:uid="{D8F9DA28-CE96-4488-9F16-71184406063C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Collins commercial aerospace and other commercial, FY2023. https://www.sec.gov/Archives/edgar/data/101829/000010182926000006/rtx-20251231.htm</t>
        </r>
      </text>
    </comment>
    <comment ref="E77" authorId="0" shapeId="0" xr:uid="{A7BEA6E8-4A4A-4840-8033-4FE689D4B894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Collins commercial aerospace and other commercial, FY2024. https://www.sec.gov/Archives/edgar/data/101829/000010182926000006/rtx-20251231.htm</t>
        </r>
      </text>
    </comment>
    <comment ref="F77" authorId="0" shapeId="0" xr:uid="{46BADB1D-7C4D-4EE0-90A6-088DBC116040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Collins commercial aerospace and other commercial, FY2025. https://www.sec.gov/Archives/edgar/data/101829/000010182926000006/rtx-20251231.htm</t>
        </r>
      </text>
    </comment>
    <comment ref="B78" authorId="0" shapeId="0" xr:uid="{6276795B-CA98-44B7-815B-4606A28FEECB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Collins inter-segment sales, FY2021. https://www.sec.gov/Archives/edgar/data/101829/000010182924000008/rtx-20231231.htm</t>
        </r>
      </text>
    </comment>
    <comment ref="C78" authorId="0" shapeId="0" xr:uid="{0F9F7A55-77CC-49C9-8888-2F7AA6AAD336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Collins inter-segment sales, FY2022. https://www.sec.gov/Archives/edgar/data/101829/000010182924000008/rtx-20231231.htm</t>
        </r>
      </text>
    </comment>
    <comment ref="D78" authorId="0" shapeId="0" xr:uid="{A208CC14-9047-4D4D-8F05-0D4E80F3B283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Collins inter-segment sales, FY2023. https://www.sec.gov/Archives/edgar/data/101829/000010182926000006/rtx-20251231.htm</t>
        </r>
      </text>
    </comment>
    <comment ref="E78" authorId="0" shapeId="0" xr:uid="{935DB424-DA20-4D8A-A32E-A87B81EF2993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Collins inter-segment sales, FY2024. https://www.sec.gov/Archives/edgar/data/101829/000010182926000006/rtx-20251231.htm</t>
        </r>
      </text>
    </comment>
    <comment ref="F78" authorId="0" shapeId="0" xr:uid="{C5B09083-DDC6-49E4-BB79-2018E3EFED08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Collins inter-segment sales, FY2025. https://www.sec.gov/Archives/edgar/data/101829/000010182926000006/rtx-20251231.htm</t>
        </r>
      </text>
    </comment>
    <comment ref="B80" authorId="0" shapeId="0" xr:uid="{333BF075-1707-406D-A258-32F3DE5014AA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Pratt: U.S. government, FY2021. https://www.sec.gov/Archives/edgar/data/101829/000010182924000008/rtx-20231231.htm</t>
        </r>
      </text>
    </comment>
    <comment ref="C80" authorId="0" shapeId="0" xr:uid="{0235E04A-DE1F-49BA-B58E-837D12455F6D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Pratt: U.S. government, FY2022. https://www.sec.gov/Archives/edgar/data/101829/000010182924000008/rtx-20231231.htm</t>
        </r>
      </text>
    </comment>
    <comment ref="D80" authorId="0" shapeId="0" xr:uid="{B1AEBE82-98B1-4F66-BE28-DC20EF104431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Pratt: U.S. government, FY2023. https://www.sec.gov/Archives/edgar/data/101829/000010182926000006/rtx-20251231.htm</t>
        </r>
      </text>
    </comment>
    <comment ref="E80" authorId="0" shapeId="0" xr:uid="{8735242A-5E3E-4A2D-9695-EBD103386E1D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Pratt: U.S. government, FY2024. https://www.sec.gov/Archives/edgar/data/101829/000010182926000006/rtx-20251231.htm</t>
        </r>
      </text>
    </comment>
    <comment ref="F80" authorId="0" shapeId="0" xr:uid="{11D6142F-A13F-4696-9BC1-ACBF705D7D86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Pratt: U.S. government, FY2025. https://www.sec.gov/Archives/edgar/data/101829/000010182926000006/rtx-20251231.htm</t>
        </r>
      </text>
    </comment>
    <comment ref="B81" authorId="0" shapeId="0" xr:uid="{98E0E381-02DE-490A-9AE3-43AC9834B012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Pratt: foreign military sales via U.S. government, FY2021. https://www.sec.gov/Archives/edgar/data/101829/000010182924000008/rtx-20231231.htm</t>
        </r>
      </text>
    </comment>
    <comment ref="C81" authorId="0" shapeId="0" xr:uid="{21C3C4F6-8299-4288-A064-750C2570CB10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Pratt: foreign military sales via U.S. government, FY2022. https://www.sec.gov/Archives/edgar/data/101829/000010182924000008/rtx-20231231.htm</t>
        </r>
      </text>
    </comment>
    <comment ref="D81" authorId="0" shapeId="0" xr:uid="{33297A1E-9984-4EF6-B9BD-C6E473066F8B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Pratt: foreign military sales via U.S. government, FY2023. https://www.sec.gov/Archives/edgar/data/101829/000010182926000006/rtx-20251231.htm</t>
        </r>
      </text>
    </comment>
    <comment ref="E81" authorId="0" shapeId="0" xr:uid="{78AB1E55-B8A5-4ED3-90CC-77418BA83990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Pratt: foreign military sales via U.S. government, FY2024. https://www.sec.gov/Archives/edgar/data/101829/000010182926000006/rtx-20251231.htm</t>
        </r>
      </text>
    </comment>
    <comment ref="F81" authorId="0" shapeId="0" xr:uid="{07C53C16-D11B-4F6F-8B13-B52A15E563BA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Pratt: foreign military sales via U.S. government, FY2025. https://www.sec.gov/Archives/edgar/data/101829/000010182926000006/rtx-20251231.htm</t>
        </r>
      </text>
    </comment>
    <comment ref="B82" authorId="0" shapeId="0" xr:uid="{D9F07AB3-B7FC-47CA-8CE3-66A0E9C6BBF3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Pratt: foreign government direct commercial sales, FY2021. https://www.sec.gov/Archives/edgar/data/101829/000010182924000008/rtx-20231231.htm</t>
        </r>
      </text>
    </comment>
    <comment ref="C82" authorId="0" shapeId="0" xr:uid="{D16173C7-B1E0-41D5-AF97-F1BE275A3B65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Pratt: foreign government direct commercial sales, FY2022. https://www.sec.gov/Archives/edgar/data/101829/000010182924000008/rtx-20231231.htm</t>
        </r>
      </text>
    </comment>
    <comment ref="D82" authorId="0" shapeId="0" xr:uid="{0D7D5166-08C3-4AA4-8A60-522FEEBCE0CE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Pratt: foreign government direct commercial sales, FY2023. https://www.sec.gov/Archives/edgar/data/101829/000010182926000006/rtx-20251231.htm</t>
        </r>
      </text>
    </comment>
    <comment ref="E82" authorId="0" shapeId="0" xr:uid="{4BBB409D-5621-4DD5-B020-A3DC47B2AD62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Pratt: foreign government direct commercial sales, FY2024. https://www.sec.gov/Archives/edgar/data/101829/000010182926000006/rtx-20251231.htm</t>
        </r>
      </text>
    </comment>
    <comment ref="F82" authorId="0" shapeId="0" xr:uid="{4AD6064C-30F6-4716-8086-A4522381D35D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Pratt: foreign government direct commercial sales, FY2025. https://www.sec.gov/Archives/edgar/data/101829/000010182926000006/rtx-20251231.htm</t>
        </r>
      </text>
    </comment>
    <comment ref="B84" authorId="0" shapeId="0" xr:uid="{EF4991E0-F8E1-4692-8A25-77D4ED421B61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Pratt commercial aerospace and other commercial, FY2021. https://www.sec.gov/Archives/edgar/data/101829/000010182924000008/rtx-20231231.htm</t>
        </r>
      </text>
    </comment>
    <comment ref="C84" authorId="0" shapeId="0" xr:uid="{A6DAA799-17B2-4E7D-9627-F1B735EF133A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Pratt commercial aerospace and other commercial, FY2022. https://www.sec.gov/Archives/edgar/data/101829/000010182924000008/rtx-20231231.htm</t>
        </r>
      </text>
    </comment>
    <comment ref="D84" authorId="0" shapeId="0" xr:uid="{2C8723AE-363E-48CA-A251-BEFEA53C6ABD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Pratt commercial aerospace and other commercial, FY2023. https://www.sec.gov/Archives/edgar/data/101829/000010182926000006/rtx-20251231.htm</t>
        </r>
      </text>
    </comment>
    <comment ref="E84" authorId="0" shapeId="0" xr:uid="{FF2846B2-E5EA-4272-AF1F-76BA77C10D4F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Pratt commercial aerospace and other commercial, FY2024. https://www.sec.gov/Archives/edgar/data/101829/000010182926000006/rtx-20251231.htm</t>
        </r>
      </text>
    </comment>
    <comment ref="F84" authorId="0" shapeId="0" xr:uid="{57FFDEAE-226A-4FC9-9115-D6536CCBA5C1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Pratt commercial aerospace and other commercial, FY2025. https://www.sec.gov/Archives/edgar/data/101829/000010182926000006/rtx-20251231.htm</t>
        </r>
      </text>
    </comment>
    <comment ref="B85" authorId="0" shapeId="0" xr:uid="{DAE62286-2D9A-47A2-8369-1DDD8623700A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Pratt inter-segment sales, FY2021. https://www.sec.gov/Archives/edgar/data/101829/000010182924000008/rtx-20231231.htm</t>
        </r>
      </text>
    </comment>
    <comment ref="C85" authorId="0" shapeId="0" xr:uid="{D8649353-F516-49DE-A139-D4E86E15886E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Pratt inter-segment sales, FY2022. https://www.sec.gov/Archives/edgar/data/101829/000010182924000008/rtx-20231231.htm</t>
        </r>
      </text>
    </comment>
    <comment ref="D85" authorId="0" shapeId="0" xr:uid="{B30D4965-9A13-41EB-BBB7-9AD88E2AE911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Pratt inter-segment sales, FY2023. https://www.sec.gov/Archives/edgar/data/101829/000010182926000006/rtx-20251231.htm</t>
        </r>
      </text>
    </comment>
    <comment ref="E85" authorId="0" shapeId="0" xr:uid="{D2231A35-D87C-4BD4-9983-11B705BE4B55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Pratt inter-segment sales, FY2024. https://www.sec.gov/Archives/edgar/data/101829/000010182926000006/rtx-20251231.htm</t>
        </r>
      </text>
    </comment>
    <comment ref="F85" authorId="0" shapeId="0" xr:uid="{32358ABB-5CE3-4B3B-B5EB-36D06BF0A2F4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Pratt inter-segment sales, FY2025. https://www.sec.gov/Archives/edgar/data/101829/000010182926000006/rtx-20251231.htm</t>
        </r>
      </text>
    </comment>
    <comment ref="B87" authorId="0" shapeId="0" xr:uid="{1F765801-1E87-4532-BB5C-A387AA0C1A26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Raytheon: U.S. government, FY2021. https://www.sec.gov/Archives/edgar/data/101829/000010182924000008/rtx-20231231.htm</t>
        </r>
      </text>
    </comment>
    <comment ref="C87" authorId="0" shapeId="0" xr:uid="{4EB2320F-A9F5-4570-AF79-4F2E92F7F4B1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Raytheon: U.S. government, FY2022. https://www.sec.gov/Archives/edgar/data/101829/000010182924000008/rtx-20231231.htm</t>
        </r>
      </text>
    </comment>
    <comment ref="D87" authorId="0" shapeId="0" xr:uid="{85FBD308-CBBD-463A-B36E-C386CA4C5AFF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Raytheon: U.S. government, FY2023. https://www.sec.gov/Archives/edgar/data/101829/000010182926000006/rtx-20251231.htm</t>
        </r>
      </text>
    </comment>
    <comment ref="E87" authorId="0" shapeId="0" xr:uid="{81D3D0AF-25E4-44C6-BFF9-CB16678F08B9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Raytheon: U.S. government, FY2024. https://www.sec.gov/Archives/edgar/data/101829/000010182926000006/rtx-20251231.htm</t>
        </r>
      </text>
    </comment>
    <comment ref="F87" authorId="0" shapeId="0" xr:uid="{0CD531A2-B6DF-4FD1-83FE-8D4F70204764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Raytheon: U.S. government, FY2025. https://www.sec.gov/Archives/edgar/data/101829/000010182926000006/rtx-20251231.htm</t>
        </r>
      </text>
    </comment>
    <comment ref="B88" authorId="0" shapeId="0" xr:uid="{46119662-C4B4-4719-908A-390461EA81DA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Raytheon: foreign military sales via U.S. government, FY2021. https://www.sec.gov/Archives/edgar/data/101829/000010182924000008/rtx-20231231.htm</t>
        </r>
      </text>
    </comment>
    <comment ref="C88" authorId="0" shapeId="0" xr:uid="{6465A12F-6621-4B97-A157-14473127F046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Raytheon: foreign military sales via U.S. government, FY2022. https://www.sec.gov/Archives/edgar/data/101829/000010182924000008/rtx-20231231.htm</t>
        </r>
      </text>
    </comment>
    <comment ref="D88" authorId="0" shapeId="0" xr:uid="{3F4508C6-4E7D-4BC1-ABF3-BC2E9EBAE6B5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Raytheon: foreign military sales via U.S. government, FY2023. https://www.sec.gov/Archives/edgar/data/101829/000010182926000006/rtx-20251231.htm</t>
        </r>
      </text>
    </comment>
    <comment ref="E88" authorId="0" shapeId="0" xr:uid="{41D35626-560D-4FFB-8F52-E9B86E0D1410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Raytheon: foreign military sales via U.S. government, FY2024. https://www.sec.gov/Archives/edgar/data/101829/000010182926000006/rtx-20251231.htm</t>
        </r>
      </text>
    </comment>
    <comment ref="F88" authorId="0" shapeId="0" xr:uid="{328CAB56-636D-4B5D-877F-361D86403221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Raytheon: foreign military sales via U.S. government, FY2025. https://www.sec.gov/Archives/edgar/data/101829/000010182926000006/rtx-20251231.htm</t>
        </r>
      </text>
    </comment>
    <comment ref="B89" authorId="0" shapeId="0" xr:uid="{EE3291E5-8EB8-486D-BFDB-37EC152648B8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Raytheon: foreign government direct commercial sales, FY2021. https://www.sec.gov/Archives/edgar/data/101829/000010182924000008/rtx-20231231.htm</t>
        </r>
      </text>
    </comment>
    <comment ref="C89" authorId="0" shapeId="0" xr:uid="{0E6D1006-3F9A-4E65-97AC-E656173DC195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Raytheon: foreign government direct commercial sales, FY2022. https://www.sec.gov/Archives/edgar/data/101829/000010182924000008/rtx-20231231.htm</t>
        </r>
      </text>
    </comment>
    <comment ref="D89" authorId="0" shapeId="0" xr:uid="{48414637-B55A-4E74-9092-263339E3E94C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Raytheon: foreign government direct commercial sales, FY2023. https://www.sec.gov/Archives/edgar/data/101829/000010182926000006/rtx-20251231.htm</t>
        </r>
      </text>
    </comment>
    <comment ref="E89" authorId="0" shapeId="0" xr:uid="{CB14E3BA-5F0C-472C-9CF4-377EADFE8B15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Raytheon: foreign government direct commercial sales, FY2024. https://www.sec.gov/Archives/edgar/data/101829/000010182926000006/rtx-20251231.htm</t>
        </r>
      </text>
    </comment>
    <comment ref="F89" authorId="0" shapeId="0" xr:uid="{F06D72C5-12F5-4FB3-9969-857B161EAE9E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Raytheon: foreign government direct commercial sales, FY2025. https://www.sec.gov/Archives/edgar/data/101829/000010182926000006/rtx-20251231.htm</t>
        </r>
      </text>
    </comment>
    <comment ref="B90" authorId="0" shapeId="0" xr:uid="{A41DCFE2-F627-4FAB-9E2D-3F3A997BEC5F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Raytheon: commercial and other, FY2021. https://www.sec.gov/Archives/edgar/data/101829/000010182924000008/rtx-20231231.htm</t>
        </r>
      </text>
    </comment>
    <comment ref="C90" authorId="0" shapeId="0" xr:uid="{2D932E49-205B-4AF1-85AC-955B7C4772EF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Raytheon: commercial and other, FY2022. https://www.sec.gov/Archives/edgar/data/101829/000010182924000008/rtx-20231231.htm</t>
        </r>
      </text>
    </comment>
    <comment ref="D90" authorId="0" shapeId="0" xr:uid="{941D15D9-E34D-4384-922A-5EBFA894D60E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Raytheon: commercial and other, FY2023. https://www.sec.gov/Archives/edgar/data/101829/000010182926000006/rtx-20251231.htm</t>
        </r>
      </text>
    </comment>
    <comment ref="E90" authorId="0" shapeId="0" xr:uid="{09ABD825-6B7E-4949-976F-951E29694976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Raytheon: commercial and other, FY2024. https://www.sec.gov/Archives/edgar/data/101829/000010182926000006/rtx-20251231.htm</t>
        </r>
      </text>
    </comment>
    <comment ref="F90" authorId="0" shapeId="0" xr:uid="{F4654C6E-B4C4-45EB-BAD9-1161816576CF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Raytheon: commercial and other, FY2025. https://www.sec.gov/Archives/edgar/data/101829/000010182926000006/rtx-20251231.htm</t>
        </r>
      </text>
    </comment>
    <comment ref="B91" authorId="0" shapeId="0" xr:uid="{A46645B0-542B-4F7B-BE56-0FC38DB9F406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Raytheon inter-segment sales, FY2021. https://www.sec.gov/Archives/edgar/data/101829/000010182924000008/rtx-20231231.htm</t>
        </r>
      </text>
    </comment>
    <comment ref="C91" authorId="0" shapeId="0" xr:uid="{13731BE0-1569-4C34-84D9-EE6466F5F03F}">
      <text>
        <r>
          <rPr>
            <sz val="11"/>
            <color theme="1"/>
            <rFont val="Calibri"/>
            <family val="2"/>
            <scheme val="minor"/>
          </rPr>
          <t>Source: SEC EDGAR, RTX 10-K FY2023, Revenue disaggregation by type of customer, Raytheon inter-segment sales, FY2022. https://www.sec.gov/Archives/edgar/data/101829/000010182924000008/rtx-20231231.htm</t>
        </r>
      </text>
    </comment>
    <comment ref="D91" authorId="0" shapeId="0" xr:uid="{63167AD0-E464-4467-80DD-67F6C8519A17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Raytheon inter-segment sales, FY2023. https://www.sec.gov/Archives/edgar/data/101829/000010182926000006/rtx-20251231.htm</t>
        </r>
      </text>
    </comment>
    <comment ref="E91" authorId="0" shapeId="0" xr:uid="{980D5E79-451A-42AA-BE1B-F9C36E39F42E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Raytheon inter-segment sales, FY2024. https://www.sec.gov/Archives/edgar/data/101829/000010182926000006/rtx-20251231.htm</t>
        </r>
      </text>
    </comment>
    <comment ref="F91" authorId="0" shapeId="0" xr:uid="{0DF25F6D-219B-42B6-81C6-F318C843321A}">
      <text>
        <r>
          <rPr>
            <sz val="11"/>
            <color theme="1"/>
            <rFont val="Calibri"/>
            <family val="2"/>
            <scheme val="minor"/>
          </rPr>
          <t>Source: SEC EDGAR, RTX 10-K FY2025, Revenue disaggregation by type of customer, Raytheon inter-segment sales, FY2025. https://www.sec.gov/Archives/edgar/data/101829/000010182926000006/rtx-20251231.htm</t>
        </r>
      </text>
    </comment>
    <comment ref="I97" authorId="0" shapeId="0" xr:uid="{87D7491C-193F-48AD-80EE-AD9A9B7D74F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Results narrative, Collins commercial OE organic growth (yoy), Q3 2026. https://www.sec.gov/Archives/edgar/data/0000101829/000010182926000030/rtx-20261020.htm</t>
        </r>
      </text>
    </comment>
    <comment ref="I98" authorId="0" shapeId="0" xr:uid="{3BA83383-F0E2-43E0-B934-9D0A7289EDB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Results narrative, Collins commercial aftermarket organic growth (yoy), Q3 2026. https://www.sec.gov/Archives/edgar/data/0000101829/000010182926000030/rtx-20261020.htm</t>
        </r>
      </text>
    </comment>
    <comment ref="I99" authorId="0" shapeId="0" xr:uid="{BC5ACEB9-5E79-4C11-97E5-E9744D7C4BCD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Results narrative, Collins defense organic growth (yoy), Q3 2026. https://www.sec.gov/Archives/edgar/data/0000101829/000010182926000030/rtx-20261020.htm</t>
        </r>
      </text>
    </comment>
    <comment ref="I100" authorId="0" shapeId="0" xr:uid="{860B8B62-A22B-49D4-9388-8B0C741E966D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Results narrative, Pratt commercial OE growth (yoy), Q3 2026. https://www.sec.gov/Archives/edgar/data/0000101829/000010182926000030/rtx-20261020.htm</t>
        </r>
      </text>
    </comment>
    <comment ref="I101" authorId="0" shapeId="0" xr:uid="{D6D869E7-15F2-4243-B318-3B766B256F0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Results narrative, Pratt commercial aftermarket growth (yoy), Q3 2026. https://www.sec.gov/Archives/edgar/data/0000101829/000010182926000030/rtx-20261020.htm</t>
        </r>
      </text>
    </comment>
    <comment ref="I102" authorId="0" shapeId="0" xr:uid="{2A3241E0-843D-47E2-B02D-E55B8B06038A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Segment Results narrative, Pratt military growth (yoy), Q3 2026. https://www.sec.gov/Archives/edgar/data/0000101829/000010182926000030/rtx-20261020.htm</t>
        </r>
      </text>
    </comment>
    <comment ref="B106" authorId="0" shapeId="0" xr:uid="{76CFD3C8-D86C-4E5E-8465-64C0EF85AAC5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Cash and cash equivalents, Dec 31, 2021. https://www.sec.gov/Archives/edgar/data/101829/000010182923000009/rtx-20221231.htm</t>
        </r>
      </text>
    </comment>
    <comment ref="C106" authorId="0" shapeId="0" xr:uid="{2E06B307-1784-4757-86FC-F646345AD8EA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Cash and cash equivalents, Dec 31, 2022. https://www.sec.gov/Archives/edgar/data/101829/000010182924000008/rtx-20231231.htm</t>
        </r>
      </text>
    </comment>
    <comment ref="D106" authorId="0" shapeId="0" xr:uid="{578B6133-0E8C-43E6-8B58-A8EF5372B084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Cash and cash equivalents, Dec 31, 2023. https://www.sec.gov/Archives/edgar/data/101829/000010182924000008/rtx-20231231.htm</t>
        </r>
      </text>
    </comment>
    <comment ref="E106" authorId="0" shapeId="0" xr:uid="{F35513CE-2C82-48A6-977C-B34152608F4C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Cash and cash equivalents, Dec 31, 2024. https://www.sec.gov/Archives/edgar/data/101829/000010182926000006/rtx-20251231.htm</t>
        </r>
      </text>
    </comment>
    <comment ref="F106" authorId="0" shapeId="0" xr:uid="{70AAA0D3-368F-4A4F-8265-8710D3B56772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Cash and cash equivalents, Dec 31, 2025. https://www.sec.gov/Archives/edgar/data/101829/000010182926000006/rtx-20251231.htm</t>
        </r>
      </text>
    </comment>
    <comment ref="I106" authorId="0" shapeId="0" xr:uid="{51C3232C-FE4C-4E26-B071-F298006B006B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Cash and cash equivalents, Sep 30, 2026. https://www.sec.gov/Archives/edgar/data/0000101829/000010182926000030/rtx-20261020.htm</t>
        </r>
      </text>
    </comment>
    <comment ref="B107" authorId="0" shapeId="0" xr:uid="{83F0B140-2FC4-4D36-93E0-D1FC809A55EC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Accounts receivable, net, Dec 31, 2021. https://www.sec.gov/Archives/edgar/data/101829/000010182923000009/rtx-20221231.htm</t>
        </r>
      </text>
    </comment>
    <comment ref="C107" authorId="0" shapeId="0" xr:uid="{A277FAB5-6184-4F04-B0C1-B90C6AE2C9A3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Accounts receivable, net, Dec 31, 2022. https://www.sec.gov/Archives/edgar/data/101829/000010182924000008/rtx-20231231.htm</t>
        </r>
      </text>
    </comment>
    <comment ref="D107" authorId="0" shapeId="0" xr:uid="{16515BC3-2631-4E20-B46A-A1D34C0759B8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Accounts receivable, net, Dec 31, 2023. https://www.sec.gov/Archives/edgar/data/101829/000010182924000008/rtx-20231231.htm</t>
        </r>
      </text>
    </comment>
    <comment ref="E107" authorId="0" shapeId="0" xr:uid="{A17F7AB9-F94C-489B-BA2E-9FB87ECA3FEC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Accounts receivable, net, Dec 31, 2024. https://www.sec.gov/Archives/edgar/data/101829/000010182926000006/rtx-20251231.htm</t>
        </r>
      </text>
    </comment>
    <comment ref="F107" authorId="0" shapeId="0" xr:uid="{2A13E9B3-1033-4342-8B54-B31591080B4D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Accounts receivable, net, Dec 31, 2025. https://www.sec.gov/Archives/edgar/data/101829/000010182926000006/rtx-20251231.htm</t>
        </r>
      </text>
    </comment>
    <comment ref="I107" authorId="0" shapeId="0" xr:uid="{245BE459-C3E2-48D9-BCCA-0E908831932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Accounts receivable, net, Sep 30, 2026. https://www.sec.gov/Archives/edgar/data/0000101829/000010182926000030/rtx-20261020.htm</t>
        </r>
      </text>
    </comment>
    <comment ref="B108" authorId="0" shapeId="0" xr:uid="{C2FC40FA-DA0C-4B89-839F-0C8ECB8AB032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Contract assets, net, Dec 31, 2021. https://www.sec.gov/Archives/edgar/data/101829/000010182923000009/rtx-20221231.htm</t>
        </r>
      </text>
    </comment>
    <comment ref="C108" authorId="0" shapeId="0" xr:uid="{1F334945-9C2A-44F3-97B8-F93FEB304387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Contract assets, net, Dec 31, 2022. https://www.sec.gov/Archives/edgar/data/101829/000010182924000008/rtx-20231231.htm</t>
        </r>
      </text>
    </comment>
    <comment ref="D108" authorId="0" shapeId="0" xr:uid="{0E7D364A-D178-43F9-B7AB-9EC9DD01FAD2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Contract assets, net, Dec 31, 2023. https://www.sec.gov/Archives/edgar/data/101829/000010182924000008/rtx-20231231.htm</t>
        </r>
      </text>
    </comment>
    <comment ref="E108" authorId="0" shapeId="0" xr:uid="{A987688D-9433-409B-83E1-882A921C6531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Contract assets, net, Dec 31, 2024. https://www.sec.gov/Archives/edgar/data/101829/000010182926000006/rtx-20251231.htm</t>
        </r>
      </text>
    </comment>
    <comment ref="F108" authorId="0" shapeId="0" xr:uid="{3C182579-0387-471A-AF9E-EB95D13D9783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Contract assets, net, Dec 31, 2025. https://www.sec.gov/Archives/edgar/data/101829/000010182926000006/rtx-20251231.htm</t>
        </r>
      </text>
    </comment>
    <comment ref="I108" authorId="0" shapeId="0" xr:uid="{A162694D-D2C6-419C-91A2-0506E0BF9584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Contract assets, net, Sep 30, 2026. https://www.sec.gov/Archives/edgar/data/0000101829/000010182926000030/rtx-20261020.htm</t>
        </r>
      </text>
    </comment>
    <comment ref="B109" authorId="0" shapeId="0" xr:uid="{9279150A-E240-4A06-8B3E-AEA385AB55CE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Inventory, net, Dec 31, 2021. https://www.sec.gov/Archives/edgar/data/101829/000010182923000009/rtx-20221231.htm</t>
        </r>
      </text>
    </comment>
    <comment ref="C109" authorId="0" shapeId="0" xr:uid="{EEC54788-5542-40F2-B9DD-741E35382C2E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Inventory, net, Dec 31, 2022. https://www.sec.gov/Archives/edgar/data/101829/000010182924000008/rtx-20231231.htm</t>
        </r>
      </text>
    </comment>
    <comment ref="D109" authorId="0" shapeId="0" xr:uid="{31057AD4-6F97-4FFF-B6C4-7DB852034C9D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Inventory, net, Dec 31, 2023. https://www.sec.gov/Archives/edgar/data/101829/000010182924000008/rtx-20231231.htm</t>
        </r>
      </text>
    </comment>
    <comment ref="E109" authorId="0" shapeId="0" xr:uid="{F66739CE-DAF5-4D70-85B6-EE8C72FCB262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Inventory, net, Dec 31, 2024. https://www.sec.gov/Archives/edgar/data/101829/000010182926000006/rtx-20251231.htm</t>
        </r>
      </text>
    </comment>
    <comment ref="F109" authorId="0" shapeId="0" xr:uid="{64F3722D-53D9-4FC0-A134-124F58F957E4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Inventory, net, Dec 31, 2025. https://www.sec.gov/Archives/edgar/data/101829/000010182926000006/rtx-20251231.htm</t>
        </r>
      </text>
    </comment>
    <comment ref="I109" authorId="0" shapeId="0" xr:uid="{1377144B-C7B8-46ED-A54F-CC987DB43A8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Inventory, net, Sep 30, 2026. https://www.sec.gov/Archives/edgar/data/0000101829/000010182926000030/rtx-20261020.htm</t>
        </r>
      </text>
    </comment>
    <comment ref="B110" authorId="0" shapeId="0" xr:uid="{90B2892F-39F3-4C22-AD6B-9EC7348DFF0E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Other assets, current, Dec 31, 2021. https://www.sec.gov/Archives/edgar/data/101829/000010182923000009/rtx-20221231.htm</t>
        </r>
      </text>
    </comment>
    <comment ref="C110" authorId="0" shapeId="0" xr:uid="{99589265-F20B-4BAC-AC1D-1C41D8E61AAE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Other assets, current, Dec 31, 2022. https://www.sec.gov/Archives/edgar/data/101829/000010182924000008/rtx-20231231.htm</t>
        </r>
      </text>
    </comment>
    <comment ref="D110" authorId="0" shapeId="0" xr:uid="{32DA8219-8CC1-4C33-A62D-217E94645103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Other assets, current, Dec 31, 2023. https://www.sec.gov/Archives/edgar/data/101829/000010182924000008/rtx-20231231.htm</t>
        </r>
      </text>
    </comment>
    <comment ref="E110" authorId="0" shapeId="0" xr:uid="{8ED2215C-6A40-4E50-B670-8D15D0C0E557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Other assets, current, Dec 31, 2024. https://www.sec.gov/Archives/edgar/data/101829/000010182926000006/rtx-20251231.htm</t>
        </r>
      </text>
    </comment>
    <comment ref="F110" authorId="0" shapeId="0" xr:uid="{76F501DC-B588-4456-88D1-121F6DB33D6F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Other assets, current, Dec 31, 2025. https://www.sec.gov/Archives/edgar/data/101829/000010182926000006/rtx-20251231.htm</t>
        </r>
      </text>
    </comment>
    <comment ref="I110" authorId="0" shapeId="0" xr:uid="{734294AA-C27E-4862-BD4B-19767327A540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Other assets, current, Sep 30, 2026. https://www.sec.gov/Archives/edgar/data/0000101829/000010182926000030/rtx-20261020.htm</t>
        </r>
      </text>
    </comment>
    <comment ref="B112" authorId="0" shapeId="0" xr:uid="{A7A06234-A274-4F8E-BD08-FF35DC336F44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Customer financing assets, Dec 31, 2021. https://www.sec.gov/Archives/edgar/data/101829/000010182923000009/rtx-20221231.htm</t>
        </r>
      </text>
    </comment>
    <comment ref="C112" authorId="0" shapeId="0" xr:uid="{11F5CE1C-C0BA-420F-BEE2-DF0D3327B94F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Customer financing assets, Dec 31, 2022. https://www.sec.gov/Archives/edgar/data/101829/000010182924000008/rtx-20231231.htm</t>
        </r>
      </text>
    </comment>
    <comment ref="D112" authorId="0" shapeId="0" xr:uid="{BD1F7AA1-EB6B-4FDE-A36E-5CDB6D453F0B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Customer financing assets, Dec 31, 2023. https://www.sec.gov/Archives/edgar/data/101829/000010182924000008/rtx-20231231.htm</t>
        </r>
      </text>
    </comment>
    <comment ref="E112" authorId="0" shapeId="0" xr:uid="{158AE274-722A-4C23-8EAC-CB94D844DD12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Customer financing assets, Dec 31, 2024. https://www.sec.gov/Archives/edgar/data/101829/000010182926000006/rtx-20251231.htm</t>
        </r>
      </text>
    </comment>
    <comment ref="F112" authorId="0" shapeId="0" xr:uid="{0A45CD19-0677-4813-94CE-E98517A34858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Customer financing assets, Dec 31, 2025. https://www.sec.gov/Archives/edgar/data/101829/000010182926000006/rtx-20251231.htm</t>
        </r>
      </text>
    </comment>
    <comment ref="I112" authorId="0" shapeId="0" xr:uid="{D6873B57-6E5C-4EAB-A066-2CB6492F5A72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Customer financing assets, Sep 30, 2026. https://www.sec.gov/Archives/edgar/data/0000101829/000010182926000030/rtx-20261020.htm</t>
        </r>
      </text>
    </comment>
    <comment ref="B113" authorId="0" shapeId="0" xr:uid="{0EABE69F-6C41-4166-89E0-DFA857050510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Fixed assets, net, Dec 31, 2021. https://www.sec.gov/Archives/edgar/data/101829/000010182923000009/rtx-20221231.htm</t>
        </r>
      </text>
    </comment>
    <comment ref="C113" authorId="0" shapeId="0" xr:uid="{D92D2C1D-B9DC-4038-8A0A-73968054C884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Fixed assets, net, Dec 31, 2022. https://www.sec.gov/Archives/edgar/data/101829/000010182924000008/rtx-20231231.htm</t>
        </r>
      </text>
    </comment>
    <comment ref="D113" authorId="0" shapeId="0" xr:uid="{AF5E6E80-60A9-476E-841B-4B87B2207151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Fixed assets, net, Dec 31, 2023. https://www.sec.gov/Archives/edgar/data/101829/000010182924000008/rtx-20231231.htm</t>
        </r>
      </text>
    </comment>
    <comment ref="E113" authorId="0" shapeId="0" xr:uid="{F40C53AC-D969-4233-834D-2EA4DE328865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Fixed assets, net, Dec 31, 2024. https://www.sec.gov/Archives/edgar/data/101829/000010182926000006/rtx-20251231.htm</t>
        </r>
      </text>
    </comment>
    <comment ref="F113" authorId="0" shapeId="0" xr:uid="{7B254D03-CE6E-4948-8923-D27BEBE6B654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Fixed assets, net, Dec 31, 2025. https://www.sec.gov/Archives/edgar/data/101829/000010182926000006/rtx-20251231.htm</t>
        </r>
      </text>
    </comment>
    <comment ref="I113" authorId="0" shapeId="0" xr:uid="{932D055D-55C6-4B95-81B1-0AF2AA400EB8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Fixed assets, net, Sep 30, 2026. https://www.sec.gov/Archives/edgar/data/0000101829/000010182926000030/rtx-20261020.htm</t>
        </r>
      </text>
    </comment>
    <comment ref="B114" authorId="0" shapeId="0" xr:uid="{1D9F74FA-7AC0-491E-AA7A-4AB2CA97503A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Operating lease right-of-use assets, Dec 31, 2021. https://www.sec.gov/Archives/edgar/data/101829/000010182923000009/rtx-20221231.htm</t>
        </r>
      </text>
    </comment>
    <comment ref="C114" authorId="0" shapeId="0" xr:uid="{9539189A-EFA6-40C9-BEFE-A230CCCF55D3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Operating lease right-of-use assets, Dec 31, 2022. https://www.sec.gov/Archives/edgar/data/101829/000010182924000008/rtx-20231231.htm</t>
        </r>
      </text>
    </comment>
    <comment ref="D114" authorId="0" shapeId="0" xr:uid="{EF6E2DF3-3CB4-48AF-8733-35D66D61788A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Operating lease right-of-use assets, Dec 31, 2023. https://www.sec.gov/Archives/edgar/data/101829/000010182924000008/rtx-20231231.htm</t>
        </r>
      </text>
    </comment>
    <comment ref="E114" authorId="0" shapeId="0" xr:uid="{D5474BD0-141A-410A-BE79-8A2A483CB9B1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Operating lease right-of-use assets, Dec 31, 2024. https://www.sec.gov/Archives/edgar/data/101829/000010182926000006/rtx-20251231.htm</t>
        </r>
      </text>
    </comment>
    <comment ref="F114" authorId="0" shapeId="0" xr:uid="{D6B626EB-3F85-4D37-AADF-54A3D5997ABB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Operating lease right-of-use assets, Dec 31, 2025. https://www.sec.gov/Archives/edgar/data/101829/000010182926000006/rtx-20251231.htm</t>
        </r>
      </text>
    </comment>
    <comment ref="I114" authorId="0" shapeId="0" xr:uid="{325344EA-07C9-418E-A67B-D34536D0D1C4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Operating lease right-of-use assets, Sep 30, 2026. https://www.sec.gov/Archives/edgar/data/0000101829/000010182926000030/rtx-20261020.htm</t>
        </r>
      </text>
    </comment>
    <comment ref="B115" authorId="0" shapeId="0" xr:uid="{F724644F-948E-4B72-8C0E-E5DB895C67EE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Goodwill, Dec 31, 2021. https://www.sec.gov/Archives/edgar/data/101829/000010182923000009/rtx-20221231.htm</t>
        </r>
      </text>
    </comment>
    <comment ref="C115" authorId="0" shapeId="0" xr:uid="{1F803921-374D-4C38-BBCD-229DAE756BBC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Goodwill, Dec 31, 2022. https://www.sec.gov/Archives/edgar/data/101829/000010182924000008/rtx-20231231.htm</t>
        </r>
      </text>
    </comment>
    <comment ref="D115" authorId="0" shapeId="0" xr:uid="{856A009A-AC8C-432A-B94D-8B5BA525BD60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Goodwill, Dec 31, 2023. https://www.sec.gov/Archives/edgar/data/101829/000010182924000008/rtx-20231231.htm</t>
        </r>
      </text>
    </comment>
    <comment ref="E115" authorId="0" shapeId="0" xr:uid="{1EF75E17-C9CE-49F5-B29D-D249478A4977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Goodwill, Dec 31, 2024. https://www.sec.gov/Archives/edgar/data/101829/000010182926000006/rtx-20251231.htm</t>
        </r>
      </text>
    </comment>
    <comment ref="F115" authorId="0" shapeId="0" xr:uid="{F590D762-0E9E-45FF-A4F4-388C0BF0BEBD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Goodwill, Dec 31, 2025. https://www.sec.gov/Archives/edgar/data/101829/000010182926000006/rtx-20251231.htm</t>
        </r>
      </text>
    </comment>
    <comment ref="I115" authorId="0" shapeId="0" xr:uid="{2E9E1C08-3A77-41CB-A0C8-E0357DCD1D5D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Goodwill, Sep 30, 2026. https://www.sec.gov/Archives/edgar/data/0000101829/000010182926000030/rtx-20261020.htm</t>
        </r>
      </text>
    </comment>
    <comment ref="B116" authorId="0" shapeId="0" xr:uid="{6CD61BD6-A768-4118-83DB-FA9733DC8445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Intangible assets, net, Dec 31, 2021. https://www.sec.gov/Archives/edgar/data/101829/000010182923000009/rtx-20221231.htm</t>
        </r>
      </text>
    </comment>
    <comment ref="C116" authorId="0" shapeId="0" xr:uid="{0B63DF27-9607-41A0-A07D-8B585BACC214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Intangible assets, net, Dec 31, 2022. https://www.sec.gov/Archives/edgar/data/101829/000010182924000008/rtx-20231231.htm</t>
        </r>
      </text>
    </comment>
    <comment ref="D116" authorId="0" shapeId="0" xr:uid="{3DEBE4A8-E84C-4BDD-9EBE-62D977F205CF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Intangible assets, net, Dec 31, 2023. https://www.sec.gov/Archives/edgar/data/101829/000010182924000008/rtx-20231231.htm</t>
        </r>
      </text>
    </comment>
    <comment ref="E116" authorId="0" shapeId="0" xr:uid="{447096D7-EED9-431B-BA3C-C599874D0534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Intangible assets, net, Dec 31, 2024. https://www.sec.gov/Archives/edgar/data/101829/000010182926000006/rtx-20251231.htm</t>
        </r>
      </text>
    </comment>
    <comment ref="F116" authorId="0" shapeId="0" xr:uid="{6FC1F7CE-4EB2-42BE-A30E-FE203D3A8AB8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Intangible assets, net, Dec 31, 2025. https://www.sec.gov/Archives/edgar/data/101829/000010182926000006/rtx-20251231.htm</t>
        </r>
      </text>
    </comment>
    <comment ref="I116" authorId="0" shapeId="0" xr:uid="{3B8456BA-99FB-44D3-A6A8-E11A788CA2E1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Intangible assets, net, Sep 30, 2026. https://www.sec.gov/Archives/edgar/data/0000101829/000010182926000030/rtx-20261020.htm</t>
        </r>
      </text>
    </comment>
    <comment ref="B117" authorId="0" shapeId="0" xr:uid="{9C57C081-C9F6-4B61-AF52-3D50D83D21A9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Other assets, Dec 31, 2021. https://www.sec.gov/Archives/edgar/data/101829/000010182923000009/rtx-20221231.htm</t>
        </r>
      </text>
    </comment>
    <comment ref="C117" authorId="0" shapeId="0" xr:uid="{C788C097-8118-4709-A631-795BB6F2B710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Other assets, Dec 31, 2022. https://www.sec.gov/Archives/edgar/data/101829/000010182924000008/rtx-20231231.htm</t>
        </r>
      </text>
    </comment>
    <comment ref="D117" authorId="0" shapeId="0" xr:uid="{3DF1B822-CC9C-4328-87F5-DFFEE8F1775C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Other assets, Dec 31, 2023. https://www.sec.gov/Archives/edgar/data/101829/000010182924000008/rtx-20231231.htm</t>
        </r>
      </text>
    </comment>
    <comment ref="E117" authorId="0" shapeId="0" xr:uid="{3FFCE3B0-D5F3-4E68-BFAE-33164513405F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Other assets, Dec 31, 2024. https://www.sec.gov/Archives/edgar/data/101829/000010182926000006/rtx-20251231.htm</t>
        </r>
      </text>
    </comment>
    <comment ref="F117" authorId="0" shapeId="0" xr:uid="{77A6E7D8-3E6D-4EED-B3FC-9A90E9619AB5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Other assets, Dec 31, 2025. https://www.sec.gov/Archives/edgar/data/101829/000010182926000006/rtx-20251231.htm</t>
        </r>
      </text>
    </comment>
    <comment ref="I117" authorId="0" shapeId="0" xr:uid="{CB58D04E-F710-43F7-8B64-00417D16954A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Other assets, Sep 30, 2026. https://www.sec.gov/Archives/edgar/data/0000101829/000010182926000030/rtx-20261020.htm</t>
        </r>
      </text>
    </comment>
    <comment ref="B119" authorId="0" shapeId="0" xr:uid="{23B820CE-2118-419B-9B51-63B86791CD4A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Short-term borrowings, Dec 31, 2021. https://www.sec.gov/Archives/edgar/data/101829/000010182923000009/rtx-20221231.htm</t>
        </r>
      </text>
    </comment>
    <comment ref="C119" authorId="0" shapeId="0" xr:uid="{FB3B1929-A326-4B92-9FF9-D02F70E4EB1D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Short-term borrowings, Dec 31, 2022. https://www.sec.gov/Archives/edgar/data/101829/000010182924000008/rtx-20231231.htm</t>
        </r>
      </text>
    </comment>
    <comment ref="D119" authorId="0" shapeId="0" xr:uid="{E3F7D58D-72F6-411B-89C6-E7717585E158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Short-term borrowings, Dec 31, 2023. https://www.sec.gov/Archives/edgar/data/101829/000010182924000008/rtx-20231231.htm</t>
        </r>
      </text>
    </comment>
    <comment ref="E119" authorId="0" shapeId="0" xr:uid="{ADF47C9F-E601-4449-872B-AC57F7E1E110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Short-term borrowings, Dec 31, 2024. https://www.sec.gov/Archives/edgar/data/101829/000010182926000006/rtx-20251231.htm</t>
        </r>
      </text>
    </comment>
    <comment ref="F119" authorId="0" shapeId="0" xr:uid="{321A9ECE-FFF0-4645-9B90-6026C9FC92D1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Short-term borrowings, Dec 31, 2025. https://www.sec.gov/Archives/edgar/data/101829/000010182926000006/rtx-20251231.htm</t>
        </r>
      </text>
    </comment>
    <comment ref="I119" authorId="0" shapeId="0" xr:uid="{C38BB035-A181-4A3D-8FAA-B5CF6FF63034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Short-term borrowings, Sep 30, 2026. https://www.sec.gov/Archives/edgar/data/0000101829/000010182926000030/rtx-20261020.htm</t>
        </r>
      </text>
    </comment>
    <comment ref="B120" authorId="0" shapeId="0" xr:uid="{39EF6D54-7F42-4DF7-A98B-1D59C993CB25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Accounts payable, Dec 31, 2021. https://www.sec.gov/Archives/edgar/data/101829/000010182923000009/rtx-20221231.htm</t>
        </r>
      </text>
    </comment>
    <comment ref="C120" authorId="0" shapeId="0" xr:uid="{E4D4CB67-4906-4841-BFDF-52BF8E9959A4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Accounts payable, Dec 31, 2022. https://www.sec.gov/Archives/edgar/data/101829/000010182924000008/rtx-20231231.htm</t>
        </r>
      </text>
    </comment>
    <comment ref="D120" authorId="0" shapeId="0" xr:uid="{A166BBE5-57C8-461F-A8CC-81B9A2BC0C79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Accounts payable, Dec 31, 2023. https://www.sec.gov/Archives/edgar/data/101829/000010182924000008/rtx-20231231.htm</t>
        </r>
      </text>
    </comment>
    <comment ref="E120" authorId="0" shapeId="0" xr:uid="{6162EAF6-4DD8-4105-852A-3B6E7373754F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Accounts payable, Dec 31, 2024. https://www.sec.gov/Archives/edgar/data/101829/000010182926000006/rtx-20251231.htm</t>
        </r>
      </text>
    </comment>
    <comment ref="F120" authorId="0" shapeId="0" xr:uid="{81BB88EA-B4BD-4162-8608-7C356ABCD54D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Accounts payable, Dec 31, 2025. https://www.sec.gov/Archives/edgar/data/101829/000010182926000006/rtx-20251231.htm</t>
        </r>
      </text>
    </comment>
    <comment ref="I120" authorId="0" shapeId="0" xr:uid="{CFEF54FE-57C6-4360-B10B-0940322991D5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Accounts payable, Sep 30, 2026. https://www.sec.gov/Archives/edgar/data/0000101829/000010182926000030/rtx-20261020.htm</t>
        </r>
      </text>
    </comment>
    <comment ref="B121" authorId="0" shapeId="0" xr:uid="{5B02811D-BE61-4A90-9BA7-BC530BA0CB29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Accrued employee compensation, Dec 31, 2021. https://www.sec.gov/Archives/edgar/data/101829/000010182923000009/rtx-20221231.htm</t>
        </r>
      </text>
    </comment>
    <comment ref="C121" authorId="0" shapeId="0" xr:uid="{1A3F8536-18B5-4E0E-8C4B-AC26E56C7F40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Accrued employee compensation, Dec 31, 2022. https://www.sec.gov/Archives/edgar/data/101829/000010182924000008/rtx-20231231.htm</t>
        </r>
      </text>
    </comment>
    <comment ref="D121" authorId="0" shapeId="0" xr:uid="{52BECB15-61B1-479E-BCBF-D5770043888D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Accrued employee compensation, Dec 31, 2023. https://www.sec.gov/Archives/edgar/data/101829/000010182924000008/rtx-20231231.htm</t>
        </r>
      </text>
    </comment>
    <comment ref="E121" authorId="0" shapeId="0" xr:uid="{E4233881-F295-4615-8A45-C2D9EE44E197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Accrued employee compensation, Dec 31, 2024. https://www.sec.gov/Archives/edgar/data/101829/000010182926000006/rtx-20251231.htm</t>
        </r>
      </text>
    </comment>
    <comment ref="F121" authorId="0" shapeId="0" xr:uid="{9DD040A7-B6C8-43B0-984F-FD56A9BF5D97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Accrued employee compensation, Dec 31, 2025. https://www.sec.gov/Archives/edgar/data/101829/000010182926000006/rtx-20251231.htm</t>
        </r>
      </text>
    </comment>
    <comment ref="I121" authorId="0" shapeId="0" xr:uid="{A825AABD-8E57-4D94-BC07-93BF5179E29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Accrued employee compensation, Sep 30, 2026. https://www.sec.gov/Archives/edgar/data/0000101829/000010182926000030/rtx-20261020.htm</t>
        </r>
      </text>
    </comment>
    <comment ref="B122" authorId="0" shapeId="0" xr:uid="{71CA7A3C-C413-4970-A67E-4C556CCCE1DB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Other accrued liabilities, Dec 31, 2021. https://www.sec.gov/Archives/edgar/data/101829/000010182923000009/rtx-20221231.htm</t>
        </r>
      </text>
    </comment>
    <comment ref="C122" authorId="0" shapeId="0" xr:uid="{506DBA36-F23E-4F93-852A-898258EB9E85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Other accrued liabilities, Dec 31, 2022. https://www.sec.gov/Archives/edgar/data/101829/000010182924000008/rtx-20231231.htm</t>
        </r>
      </text>
    </comment>
    <comment ref="D122" authorId="0" shapeId="0" xr:uid="{88D66581-9F40-46A8-97FC-C3CD95AB19AF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Other accrued liabilities, Dec 31, 2023. https://www.sec.gov/Archives/edgar/data/101829/000010182924000008/rtx-20231231.htm</t>
        </r>
      </text>
    </comment>
    <comment ref="E122" authorId="0" shapeId="0" xr:uid="{482165EA-3346-481D-ABFC-99746BB4EC3C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Other accrued liabilities, Dec 31, 2024. https://www.sec.gov/Archives/edgar/data/101829/000010182926000006/rtx-20251231.htm</t>
        </r>
      </text>
    </comment>
    <comment ref="F122" authorId="0" shapeId="0" xr:uid="{BE8612C5-D6F6-4D88-9B90-4D62FF5BAA7B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Other accrued liabilities, Dec 31, 2025. https://www.sec.gov/Archives/edgar/data/101829/000010182926000006/rtx-20251231.htm</t>
        </r>
      </text>
    </comment>
    <comment ref="I122" authorId="0" shapeId="0" xr:uid="{47472E11-7455-427E-9731-E27B37F6CA3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Other accrued liabilities, Sep 30, 2026. https://www.sec.gov/Archives/edgar/data/0000101829/000010182926000030/rtx-20261020.htm</t>
        </r>
      </text>
    </comment>
    <comment ref="B123" authorId="0" shapeId="0" xr:uid="{8EFE9B14-5441-4846-8636-1768F120191B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Contract liabilities, Dec 31, 2021. https://www.sec.gov/Archives/edgar/data/101829/000010182923000009/rtx-20221231.htm</t>
        </r>
      </text>
    </comment>
    <comment ref="C123" authorId="0" shapeId="0" xr:uid="{385CE8C1-E28C-47A9-91D8-49B2D734074B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Contract liabilities, Dec 31, 2022. https://www.sec.gov/Archives/edgar/data/101829/000010182924000008/rtx-20231231.htm</t>
        </r>
      </text>
    </comment>
    <comment ref="D123" authorId="0" shapeId="0" xr:uid="{8E26A124-A8BD-414A-AD07-EA95851FDAC5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Contract liabilities, Dec 31, 2023. https://www.sec.gov/Archives/edgar/data/101829/000010182924000008/rtx-20231231.htm</t>
        </r>
      </text>
    </comment>
    <comment ref="E123" authorId="0" shapeId="0" xr:uid="{8548D8EA-A1DB-4A75-AAD3-9C0667EB7C76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Contract liabilities, Dec 31, 2024. https://www.sec.gov/Archives/edgar/data/101829/000010182926000006/rtx-20251231.htm</t>
        </r>
      </text>
    </comment>
    <comment ref="F123" authorId="0" shapeId="0" xr:uid="{D1C70E83-D66A-468A-9806-B55744B6E6C3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Contract liabilities, Dec 31, 2025. https://www.sec.gov/Archives/edgar/data/101829/000010182926000006/rtx-20251231.htm</t>
        </r>
      </text>
    </comment>
    <comment ref="I123" authorId="0" shapeId="0" xr:uid="{6C512392-2396-4FFE-88A7-B879327EC36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Contract liabilities, Sep 30, 2026. https://www.sec.gov/Archives/edgar/data/0000101829/000010182926000030/rtx-20261020.htm</t>
        </r>
      </text>
    </comment>
    <comment ref="B124" authorId="0" shapeId="0" xr:uid="{1D93591C-91B0-459C-950A-6F1C8B157704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Long-term debt currently due, Dec 31, 2021. https://www.sec.gov/Archives/edgar/data/101829/000010182923000009/rtx-20221231.htm</t>
        </r>
      </text>
    </comment>
    <comment ref="C124" authorId="0" shapeId="0" xr:uid="{705FAB94-3DC6-4965-A2DA-785C1A24718D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Long-term debt currently due, Dec 31, 2022. https://www.sec.gov/Archives/edgar/data/101829/000010182924000008/rtx-20231231.htm</t>
        </r>
      </text>
    </comment>
    <comment ref="D124" authorId="0" shapeId="0" xr:uid="{5BBD28E5-12B5-4203-8594-3EAE66502BAA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Long-term debt currently due, Dec 31, 2023. https://www.sec.gov/Archives/edgar/data/101829/000010182924000008/rtx-20231231.htm</t>
        </r>
      </text>
    </comment>
    <comment ref="E124" authorId="0" shapeId="0" xr:uid="{9EB49C2D-C439-45EA-A5D5-BC9D7F15C446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Long-term debt currently due, Dec 31, 2024. https://www.sec.gov/Archives/edgar/data/101829/000010182926000006/rtx-20251231.htm</t>
        </r>
      </text>
    </comment>
    <comment ref="F124" authorId="0" shapeId="0" xr:uid="{960F697B-B18C-4252-8167-90EE02D1B11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Long-term debt currently due, Dec 31, 2025. https://www.sec.gov/Archives/edgar/data/101829/000010182926000006/rtx-20251231.htm</t>
        </r>
      </text>
    </comment>
    <comment ref="I124" authorId="0" shapeId="0" xr:uid="{6F06F505-A63B-46B1-9943-30DC8EC1B1CB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Long-term debt currently due, Sep 30, 2026. https://www.sec.gov/Archives/edgar/data/0000101829/000010182926000030/rtx-20261020.htm</t>
        </r>
      </text>
    </comment>
    <comment ref="B126" authorId="0" shapeId="0" xr:uid="{9A970946-4C29-41D9-85FB-ECDBC75343E1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Long-term debt, Dec 31, 2021. https://www.sec.gov/Archives/edgar/data/101829/000010182923000009/rtx-20221231.htm</t>
        </r>
      </text>
    </comment>
    <comment ref="C126" authorId="0" shapeId="0" xr:uid="{AB83D020-CF93-49F5-8799-7EE263AC05C1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Long-term debt, Dec 31, 2022. https://www.sec.gov/Archives/edgar/data/101829/000010182924000008/rtx-20231231.htm</t>
        </r>
      </text>
    </comment>
    <comment ref="D126" authorId="0" shapeId="0" xr:uid="{00F297F2-5F9E-4160-9789-7CC5515536A7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Long-term debt, Dec 31, 2023. https://www.sec.gov/Archives/edgar/data/101829/000010182924000008/rtx-20231231.htm</t>
        </r>
      </text>
    </comment>
    <comment ref="E126" authorId="0" shapeId="0" xr:uid="{5EF81958-E787-466F-BADC-33A085355FC9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Long-term debt, Dec 31, 2024. https://www.sec.gov/Archives/edgar/data/101829/000010182926000006/rtx-20251231.htm</t>
        </r>
      </text>
    </comment>
    <comment ref="F126" authorId="0" shapeId="0" xr:uid="{88712326-9D00-4454-B703-8FDBACA6010D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Long-term debt, Dec 31, 2025. https://www.sec.gov/Archives/edgar/data/101829/000010182926000006/rtx-20251231.htm</t>
        </r>
      </text>
    </comment>
    <comment ref="I126" authorId="0" shapeId="0" xr:uid="{5AF780DA-D249-4504-8E8F-1ACC552AAD63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Long-term debt, Sep 30, 2026. https://www.sec.gov/Archives/edgar/data/0000101829/000010182926000030/rtx-20261020.htm</t>
        </r>
      </text>
    </comment>
    <comment ref="B127" authorId="0" shapeId="0" xr:uid="{8C444B29-8A13-40BD-95FD-170414D3F1E6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Operating lease liabilities, non-current, Dec 31, 2021. https://www.sec.gov/Archives/edgar/data/101829/000010182923000009/rtx-20221231.htm</t>
        </r>
      </text>
    </comment>
    <comment ref="C127" authorId="0" shapeId="0" xr:uid="{61DD9ACF-0E81-41A7-B3DB-7A9DB0AA45DB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Operating lease liabilities, non-current, Dec 31, 2022. https://www.sec.gov/Archives/edgar/data/101829/000010182924000008/rtx-20231231.htm</t>
        </r>
      </text>
    </comment>
    <comment ref="D127" authorId="0" shapeId="0" xr:uid="{A82C807F-F096-438A-AEAF-A3FAD1C41D55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Operating lease liabilities, non-current, Dec 31, 2023. https://www.sec.gov/Archives/edgar/data/101829/000010182924000008/rtx-20231231.htm</t>
        </r>
      </text>
    </comment>
    <comment ref="E127" authorId="0" shapeId="0" xr:uid="{EF4B70F9-707C-4AD8-9E52-B166C337BB30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Operating lease liabilities, non-current, Dec 31, 2024. https://www.sec.gov/Archives/edgar/data/101829/000010182926000006/rtx-20251231.htm</t>
        </r>
      </text>
    </comment>
    <comment ref="F127" authorId="0" shapeId="0" xr:uid="{EB7DC241-9A7E-47F8-84C0-CCC457DD881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Operating lease liabilities, non-current, Dec 31, 2025. https://www.sec.gov/Archives/edgar/data/101829/000010182926000006/rtx-20251231.htm</t>
        </r>
      </text>
    </comment>
    <comment ref="I127" authorId="0" shapeId="0" xr:uid="{FFDB251E-0583-40E1-9592-9153D3BE3C3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Operating lease liabilities, non-current, Sep 30, 2026. https://www.sec.gov/Archives/edgar/data/0000101829/000010182926000030/rtx-20261020.htm</t>
        </r>
      </text>
    </comment>
    <comment ref="B128" authorId="0" shapeId="0" xr:uid="{7939B44C-4F60-4119-8474-D8187B27678F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Future pension and postretirement benefit obligations, Dec 31, 2021. https://www.sec.gov/Archives/edgar/data/101829/000010182923000009/rtx-20221231.htm</t>
        </r>
      </text>
    </comment>
    <comment ref="C128" authorId="0" shapeId="0" xr:uid="{786CFBBD-3746-4652-B80E-936BFA19F98B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Future pension and postretirement benefit obligations, Dec 31, 2022. https://www.sec.gov/Archives/edgar/data/101829/000010182924000008/rtx-20231231.htm</t>
        </r>
      </text>
    </comment>
    <comment ref="D128" authorId="0" shapeId="0" xr:uid="{AFDD0EE7-C13A-49E6-ABA0-D8A83C5D9D99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Future pension and postretirement benefit obligations, Dec 31, 2023. https://www.sec.gov/Archives/edgar/data/101829/000010182924000008/rtx-20231231.htm</t>
        </r>
      </text>
    </comment>
    <comment ref="E128" authorId="0" shapeId="0" xr:uid="{016A3920-4955-4193-BA87-45C2834C30F0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Future pension and postretirement benefit obligations, Dec 31, 2024. https://www.sec.gov/Archives/edgar/data/101829/000010182926000006/rtx-20251231.htm</t>
        </r>
      </text>
    </comment>
    <comment ref="F128" authorId="0" shapeId="0" xr:uid="{03DBD509-7C45-418C-80A5-3273E4B38DF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Future pension and postretirement benefit obligations, Dec 31, 2025. https://www.sec.gov/Archives/edgar/data/101829/000010182926000006/rtx-20251231.htm</t>
        </r>
      </text>
    </comment>
    <comment ref="I128" authorId="0" shapeId="0" xr:uid="{B059A994-8704-4EB3-87CE-45CA7CEC7BFA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Future pension and postretirement benefit obligations, Sep 30, 2026. https://www.sec.gov/Archives/edgar/data/0000101829/000010182926000030/rtx-20261020.htm</t>
        </r>
      </text>
    </comment>
    <comment ref="B129" authorId="0" shapeId="0" xr:uid="{DADA6E17-08F0-4C77-A030-F0C6D6C88AD4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Other long-term liabilities, Dec 31, 2021. https://www.sec.gov/Archives/edgar/data/101829/000010182923000009/rtx-20221231.htm</t>
        </r>
      </text>
    </comment>
    <comment ref="C129" authorId="0" shapeId="0" xr:uid="{E976C6E5-963B-4B04-973E-9168822B6CB4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Other long-term liabilities, Dec 31, 2022. https://www.sec.gov/Archives/edgar/data/101829/000010182924000008/rtx-20231231.htm</t>
        </r>
      </text>
    </comment>
    <comment ref="D129" authorId="0" shapeId="0" xr:uid="{259EF1A0-C84D-4C5D-AE3F-CD6BEBB89860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Other long-term liabilities, Dec 31, 2023. https://www.sec.gov/Archives/edgar/data/101829/000010182924000008/rtx-20231231.htm</t>
        </r>
      </text>
    </comment>
    <comment ref="E129" authorId="0" shapeId="0" xr:uid="{353C8ABC-5119-4A50-BA86-503439FF675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Other long-term liabilities, Dec 31, 2024. https://www.sec.gov/Archives/edgar/data/101829/000010182926000006/rtx-20251231.htm</t>
        </r>
      </text>
    </comment>
    <comment ref="F129" authorId="0" shapeId="0" xr:uid="{EEA43336-8391-4411-BE09-6F404A601712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Other long-term liabilities, Dec 31, 2025. https://www.sec.gov/Archives/edgar/data/101829/000010182926000006/rtx-20251231.htm</t>
        </r>
      </text>
    </comment>
    <comment ref="I129" authorId="0" shapeId="0" xr:uid="{55E3939E-7316-49B0-A553-AFD6F1E8E310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Other long-term liabilities, Sep 30, 2026. https://www.sec.gov/Archives/edgar/data/0000101829/000010182926000030/rtx-20261020.htm</t>
        </r>
      </text>
    </comment>
    <comment ref="B131" authorId="0" shapeId="0" xr:uid="{489B8A59-0459-4D53-B19F-8E84ED8D0A03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Redeemable noncontrolling interest, Dec 31, 2021. https://www.sec.gov/Archives/edgar/data/101829/000010182923000009/rtx-20221231.htm</t>
        </r>
      </text>
    </comment>
    <comment ref="C131" authorId="0" shapeId="0" xr:uid="{AF65EE65-704D-4DB6-B48F-8541BDDB67D7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Redeemable noncontrolling interest, Dec 31, 2022. https://www.sec.gov/Archives/edgar/data/101829/000010182924000008/rtx-20231231.htm</t>
        </r>
      </text>
    </comment>
    <comment ref="D131" authorId="0" shapeId="0" xr:uid="{2A28D74D-B180-4CBD-8328-5FEA10F719C2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Redeemable noncontrolling interest, Dec 31, 2023. https://www.sec.gov/Archives/edgar/data/101829/000010182924000008/rtx-20231231.htm</t>
        </r>
      </text>
    </comment>
    <comment ref="E131" authorId="0" shapeId="0" xr:uid="{D7C22A28-A755-4FD9-9F65-DDC8D10ECE62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Redeemable noncontrolling interest, Dec 31, 2024. https://www.sec.gov/Archives/edgar/data/101829/000010182926000006/rtx-20251231.htm</t>
        </r>
      </text>
    </comment>
    <comment ref="F131" authorId="0" shapeId="0" xr:uid="{026F5F65-EB81-4E4C-AF15-D8CB6A4F78D8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Redeemable noncontrolling interest, Dec 31, 2025. https://www.sec.gov/Archives/edgar/data/101829/000010182926000006/rtx-20251231.htm</t>
        </r>
      </text>
    </comment>
    <comment ref="I131" authorId="0" shapeId="0" xr:uid="{3BFA1A1F-9406-4835-A7F2-379AA9879511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Redeemable noncontrolling interest, Sep 30, 2026. https://www.sec.gov/Archives/edgar/data/0000101829/000010182926000030/rtx-20261020.htm</t>
        </r>
      </text>
    </comment>
    <comment ref="B132" authorId="0" shapeId="0" xr:uid="{7B2647BF-F4FD-4966-9E10-F67DC8BC0F15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Common stock, Dec 31, 2021. https://www.sec.gov/Archives/edgar/data/101829/000010182923000009/rtx-20221231.htm</t>
        </r>
      </text>
    </comment>
    <comment ref="C132" authorId="0" shapeId="0" xr:uid="{F51C8584-BA39-4592-BE0C-F254A46729BA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Common stock, Dec 31, 2022. https://www.sec.gov/Archives/edgar/data/101829/000010182924000008/rtx-20231231.htm</t>
        </r>
      </text>
    </comment>
    <comment ref="D132" authorId="0" shapeId="0" xr:uid="{3AC7A8D5-AD3D-4F9B-BABE-E80895F024CD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Common stock, Dec 31, 2023. https://www.sec.gov/Archives/edgar/data/101829/000010182924000008/rtx-20231231.htm</t>
        </r>
      </text>
    </comment>
    <comment ref="E132" authorId="0" shapeId="0" xr:uid="{544BB11B-A49B-4582-B260-900C2840209D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Common stock, Dec 31, 2024. https://www.sec.gov/Archives/edgar/data/101829/000010182926000006/rtx-20251231.htm</t>
        </r>
      </text>
    </comment>
    <comment ref="F132" authorId="0" shapeId="0" xr:uid="{97493043-2879-43E8-9BE9-600F34EFF9D6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Common stock, Dec 31, 2025. https://www.sec.gov/Archives/edgar/data/101829/000010182926000006/rtx-20251231.htm</t>
        </r>
      </text>
    </comment>
    <comment ref="I132" authorId="0" shapeId="0" xr:uid="{230F6F20-74D6-4FBB-98E5-727E6D7766F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Common stock, Sep 30, 2026. https://www.sec.gov/Archives/edgar/data/0000101829/000010182926000030/rtx-20261020.htm</t>
        </r>
      </text>
    </comment>
    <comment ref="B133" authorId="0" shapeId="0" xr:uid="{ECF038A9-0DE7-4618-A93E-852A839C65DA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Treasury stock, Dec 31, 2021. https://www.sec.gov/Archives/edgar/data/101829/000010182923000009/rtx-20221231.htm</t>
        </r>
      </text>
    </comment>
    <comment ref="C133" authorId="0" shapeId="0" xr:uid="{746765C0-95CF-4C11-A825-9A0AF10357C4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Treasury stock, Dec 31, 2022. https://www.sec.gov/Archives/edgar/data/101829/000010182924000008/rtx-20231231.htm</t>
        </r>
      </text>
    </comment>
    <comment ref="D133" authorId="0" shapeId="0" xr:uid="{39DD4889-1174-4AAA-98F7-6EDAFAA4A5F0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Treasury stock, Dec 31, 2023. https://www.sec.gov/Archives/edgar/data/101829/000010182924000008/rtx-20231231.htm</t>
        </r>
      </text>
    </comment>
    <comment ref="E133" authorId="0" shapeId="0" xr:uid="{5EC6EA73-10A0-4064-AECA-D78690F55C35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Treasury stock, Dec 31, 2024. https://www.sec.gov/Archives/edgar/data/101829/000010182926000006/rtx-20251231.htm</t>
        </r>
      </text>
    </comment>
    <comment ref="F133" authorId="0" shapeId="0" xr:uid="{FFDCD617-3E82-4576-B129-4402D1B13608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Treasury stock, Dec 31, 2025. https://www.sec.gov/Archives/edgar/data/101829/000010182926000006/rtx-20251231.htm</t>
        </r>
      </text>
    </comment>
    <comment ref="I133" authorId="0" shapeId="0" xr:uid="{55762BD0-9F78-4FEC-8800-F79634BC7386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Treasury stock, Sep 30, 2026. https://www.sec.gov/Archives/edgar/data/0000101829/000010182926000030/rtx-20261020.htm</t>
        </r>
      </text>
    </comment>
    <comment ref="B134" authorId="0" shapeId="0" xr:uid="{D1CFD091-2F11-42C5-A50D-19F30F27FE08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Retained earnings, Dec 31, 2021. https://www.sec.gov/Archives/edgar/data/101829/000010182923000009/rtx-20221231.htm</t>
        </r>
      </text>
    </comment>
    <comment ref="C134" authorId="0" shapeId="0" xr:uid="{1825440E-E0D5-4EA4-B396-785F89B31DB7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Retained earnings, Dec 31, 2022. https://www.sec.gov/Archives/edgar/data/101829/000010182924000008/rtx-20231231.htm</t>
        </r>
      </text>
    </comment>
    <comment ref="D134" authorId="0" shapeId="0" xr:uid="{FB4929A3-00E8-47AF-BFC9-C1949062C748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Retained earnings, Dec 31, 2023. https://www.sec.gov/Archives/edgar/data/101829/000010182924000008/rtx-20231231.htm</t>
        </r>
      </text>
    </comment>
    <comment ref="E134" authorId="0" shapeId="0" xr:uid="{053275B0-95EC-4C38-80F5-8F4D560DAF7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Retained earnings, Dec 31, 2024. https://www.sec.gov/Archives/edgar/data/101829/000010182926000006/rtx-20251231.htm</t>
        </r>
      </text>
    </comment>
    <comment ref="F134" authorId="0" shapeId="0" xr:uid="{E68CBCDE-8C8D-45FC-80F0-B5C559781424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Retained earnings, Dec 31, 2025. https://www.sec.gov/Archives/edgar/data/101829/000010182926000006/rtx-20251231.htm</t>
        </r>
      </text>
    </comment>
    <comment ref="I134" authorId="0" shapeId="0" xr:uid="{C0E8C4C7-844D-438B-B593-31B6AC1A6823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Retained earnings, Sep 30, 2026. https://www.sec.gov/Archives/edgar/data/0000101829/000010182926000030/rtx-20261020.htm</t>
        </r>
      </text>
    </comment>
    <comment ref="B135" authorId="0" shapeId="0" xr:uid="{D8C227DF-6ADE-478C-93EA-A05C6280A630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Unearned ESOP shares, Dec 31, 2021. https://www.sec.gov/Archives/edgar/data/101829/000010182923000009/rtx-20221231.htm</t>
        </r>
      </text>
    </comment>
    <comment ref="C135" authorId="0" shapeId="0" xr:uid="{C6E0929E-4CA9-49FB-A6D4-F6C723F8C5EA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Unearned ESOP shares, Dec 31, 2022. https://www.sec.gov/Archives/edgar/data/101829/000010182924000008/rtx-20231231.htm</t>
        </r>
      </text>
    </comment>
    <comment ref="D135" authorId="0" shapeId="0" xr:uid="{3CE9A03E-E089-4667-A462-B443E8783D93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Unearned ESOP shares, Dec 31, 2023. https://www.sec.gov/Archives/edgar/data/101829/000010182924000008/rtx-20231231.htm</t>
        </r>
      </text>
    </comment>
    <comment ref="E135" authorId="0" shapeId="0" xr:uid="{99483AF1-DED5-4CFB-B986-8F6DDEF5DDD2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Unearned ESOP shares, Dec 31, 2024. https://www.sec.gov/Archives/edgar/data/101829/000010182926000006/rtx-20251231.htm</t>
        </r>
      </text>
    </comment>
    <comment ref="F135" authorId="0" shapeId="0" xr:uid="{D9B6CEB3-114A-4697-A866-9E7F36632440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Unearned ESOP shares, Dec 31, 2025. https://www.sec.gov/Archives/edgar/data/101829/000010182926000006/rtx-20251231.htm</t>
        </r>
      </text>
    </comment>
    <comment ref="I135" authorId="0" shapeId="0" xr:uid="{C99E57F6-BE93-4B4E-92A6-93D62FDD38B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Unearned ESOP shares, Sep 30, 2026. https://www.sec.gov/Archives/edgar/data/0000101829/000010182926000030/rtx-20261020.htm</t>
        </r>
      </text>
    </comment>
    <comment ref="B136" authorId="0" shapeId="0" xr:uid="{0A26979A-1B50-4CFF-B6D3-17009D7A9C96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Accumulated other comprehensive loss, Dec 31, 2021. https://www.sec.gov/Archives/edgar/data/101829/000010182923000009/rtx-20221231.htm</t>
        </r>
      </text>
    </comment>
    <comment ref="C136" authorId="0" shapeId="0" xr:uid="{8176169A-E0B6-4FD1-B281-5ABC42111537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Accumulated other comprehensive loss, Dec 31, 2022. https://www.sec.gov/Archives/edgar/data/101829/000010182924000008/rtx-20231231.htm</t>
        </r>
      </text>
    </comment>
    <comment ref="D136" authorId="0" shapeId="0" xr:uid="{4239805B-2DFF-4E5B-BBCE-0E1974CA110D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Accumulated other comprehensive loss, Dec 31, 2023. https://www.sec.gov/Archives/edgar/data/101829/000010182924000008/rtx-20231231.htm</t>
        </r>
      </text>
    </comment>
    <comment ref="E136" authorId="0" shapeId="0" xr:uid="{0A698F79-4509-4187-88F4-A650774C919C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Accumulated other comprehensive loss, Dec 31, 2024. https://www.sec.gov/Archives/edgar/data/101829/000010182926000006/rtx-20251231.htm</t>
        </r>
      </text>
    </comment>
    <comment ref="F136" authorId="0" shapeId="0" xr:uid="{92E64394-6C6E-4821-AB32-FD159DE6B842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Accumulated other comprehensive loss, Dec 31, 2025. https://www.sec.gov/Archives/edgar/data/101829/000010182926000006/rtx-20251231.htm</t>
        </r>
      </text>
    </comment>
    <comment ref="I136" authorId="0" shapeId="0" xr:uid="{6195957B-4E70-4DB0-8558-6FB24DAC42D4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Accumulated other comprehensive loss, Sep 30, 2026. https://www.sec.gov/Archives/edgar/data/0000101829/000010182926000030/rtx-20261020.htm</t>
        </r>
      </text>
    </comment>
    <comment ref="B138" authorId="0" shapeId="0" xr:uid="{2E1F1EE9-F464-4A10-8BEA-1CBF129F615B}">
      <text>
        <r>
          <rPr>
            <sz val="11"/>
            <color theme="1"/>
            <rFont val="Calibri"/>
            <family val="2"/>
            <scheme val="minor"/>
          </rPr>
          <t>Source: SEC EDGAR, RTX 10-K FY2022, Consolidated Balance Sheet, Noncontrolling interest, Dec 31, 2021. https://www.sec.gov/Archives/edgar/data/101829/000010182923000009/rtx-20221231.htm</t>
        </r>
      </text>
    </comment>
    <comment ref="C138" authorId="0" shapeId="0" xr:uid="{58B2B9A1-0FC5-4AB9-BCBC-A4540806251B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Noncontrolling interest, Dec 31, 2022. https://www.sec.gov/Archives/edgar/data/101829/000010182924000008/rtx-20231231.htm</t>
        </r>
      </text>
    </comment>
    <comment ref="D138" authorId="0" shapeId="0" xr:uid="{F70F9823-E225-403F-B809-D77DE3D4E43F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Balance Sheet, Noncontrolling interest, Dec 31, 2023. https://www.sec.gov/Archives/edgar/data/101829/000010182924000008/rtx-20231231.htm</t>
        </r>
      </text>
    </comment>
    <comment ref="E138" authorId="0" shapeId="0" xr:uid="{938189A2-F899-4DD0-9BA4-6F1906739440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Noncontrolling interest, Dec 31, 2024. https://www.sec.gov/Archives/edgar/data/101829/000010182926000006/rtx-20251231.htm</t>
        </r>
      </text>
    </comment>
    <comment ref="F138" authorId="0" shapeId="0" xr:uid="{1C660CD1-BEB4-44F3-A53E-570B334C01FB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Balance Sheet, Noncontrolling interest, Dec 31, 2025. https://www.sec.gov/Archives/edgar/data/101829/000010182926000006/rtx-20251231.htm</t>
        </r>
      </text>
    </comment>
    <comment ref="I138" authorId="0" shapeId="0" xr:uid="{CCC78CB1-B201-464D-B710-98B5A7BDB57B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Balance Sheet, Noncontrolling interest, Sep 30, 2026. https://www.sec.gov/Archives/edgar/data/0000101829/000010182926000030/rtx-20261020.htm</t>
        </r>
      </text>
    </comment>
    <comment ref="B146" authorId="0" shapeId="0" xr:uid="{4444AC0F-78A1-4B5D-BC59-0318EF68CF4E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Net income (continuing operations), FY2021. https://www.sec.gov/Archives/edgar/data/101829/000010182924000008/rtx-20231231.htm</t>
        </r>
      </text>
    </comment>
    <comment ref="C146" authorId="0" shapeId="0" xr:uid="{86AF9768-5128-4188-8AE9-6E05590BD993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Net income (continuing operations), FY2022. https://www.sec.gov/Archives/edgar/data/101829/000010182924000008/rtx-20231231.htm</t>
        </r>
      </text>
    </comment>
    <comment ref="D146" authorId="0" shapeId="0" xr:uid="{DACAD282-6137-4854-953D-FDA1F8B8537F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Net income (continuing operations), FY2023. https://www.sec.gov/Archives/edgar/data/101829/000010182926000006/rtx-20251231.htm</t>
        </r>
      </text>
    </comment>
    <comment ref="E146" authorId="0" shapeId="0" xr:uid="{F8345781-58E3-42F8-A17F-6581A32595E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Net income (continuing operations), FY2024. https://www.sec.gov/Archives/edgar/data/101829/000010182926000006/rtx-20251231.htm</t>
        </r>
      </text>
    </comment>
    <comment ref="F146" authorId="0" shapeId="0" xr:uid="{20E0B88E-B49F-4900-BBBF-68D81925A036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Net income (continuing operations), FY2025. https://www.sec.gov/Archives/edgar/data/101829/000010182926000006/rtx-20251231.htm</t>
        </r>
      </text>
    </comment>
    <comment ref="G146" authorId="0" shapeId="0" xr:uid="{517E4ADF-5CD5-4BCE-8900-4B869AAD17C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Net income (continuing operations), 9M 2025. https://www.sec.gov/Archives/edgar/data/0000101829/000010182926000030/rtx-20261020.htm</t>
        </r>
      </text>
    </comment>
    <comment ref="H146" authorId="0" shapeId="0" xr:uid="{B9058484-77CA-401E-9FE7-3E10711F1951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Net income (continuing operations), 9M 2026. https://www.sec.gov/Archives/edgar/data/0000101829/000010182926000030/rtx-20261020.htm</t>
        </r>
      </text>
    </comment>
    <comment ref="I146" authorId="0" shapeId="0" xr:uid="{848D910D-0555-44EC-A077-8003FFC3DB4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Net income (continuing operations), Q3 2026. https://www.sec.gov/Archives/edgar/data/0000101829/000010182926000030/rtx-20261020.htm</t>
        </r>
      </text>
    </comment>
    <comment ref="B147" authorId="0" shapeId="0" xr:uid="{CF4F046D-4DA0-490D-8582-9F53211EEAF7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Depreciation and amortization, FY2021. https://www.sec.gov/Archives/edgar/data/101829/000010182924000008/rtx-20231231.htm</t>
        </r>
      </text>
    </comment>
    <comment ref="C147" authorId="0" shapeId="0" xr:uid="{1EF1CB98-FAE7-4974-84F2-6B0300BC0B8A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Depreciation and amortization, FY2022. https://www.sec.gov/Archives/edgar/data/101829/000010182924000008/rtx-20231231.htm</t>
        </r>
      </text>
    </comment>
    <comment ref="D147" authorId="0" shapeId="0" xr:uid="{A4B55758-66B9-4AC0-BAF6-61BC797B477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Depreciation and amortization, FY2023. https://www.sec.gov/Archives/edgar/data/101829/000010182926000006/rtx-20251231.htm</t>
        </r>
      </text>
    </comment>
    <comment ref="E147" authorId="0" shapeId="0" xr:uid="{0644DA80-0FCD-438E-A93D-9A1FDD1A5F1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Depreciation and amortization, FY2024. https://www.sec.gov/Archives/edgar/data/101829/000010182926000006/rtx-20251231.htm</t>
        </r>
      </text>
    </comment>
    <comment ref="F147" authorId="0" shapeId="0" xr:uid="{CE297C77-951C-4FEA-AA20-8BB4A56D439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Depreciation and amortization, FY2025. https://www.sec.gov/Archives/edgar/data/101829/000010182926000006/rtx-20251231.htm</t>
        </r>
      </text>
    </comment>
    <comment ref="G147" authorId="0" shapeId="0" xr:uid="{F0AD513A-B4DD-4531-AE17-9D2F0BB8A390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Depreciation and amortization, 9M 2025. https://www.sec.gov/Archives/edgar/data/0000101829/000010182926000030/rtx-20261020.htm</t>
        </r>
      </text>
    </comment>
    <comment ref="H147" authorId="0" shapeId="0" xr:uid="{C292C432-D5C6-4BAE-8FBD-BD0F7F3D8E24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Depreciation and amortization, 9M 2026. https://www.sec.gov/Archives/edgar/data/0000101829/000010182926000030/rtx-20261020.htm</t>
        </r>
      </text>
    </comment>
    <comment ref="I147" authorId="0" shapeId="0" xr:uid="{6FC52D10-DC98-4475-BDC7-DE7EDE098943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Depreciation and amortization, Q3 2026. https://www.sec.gov/Archives/edgar/data/0000101829/000010182926000030/rtx-20261020.htm</t>
        </r>
      </text>
    </comment>
    <comment ref="B148" authorId="0" shapeId="0" xr:uid="{C84205BC-2900-4AF0-BDA1-4C5DBC130C05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Deferred income tax provision (benefit), FY2021. https://www.sec.gov/Archives/edgar/data/101829/000010182924000008/rtx-20231231.htm</t>
        </r>
      </text>
    </comment>
    <comment ref="C148" authorId="0" shapeId="0" xr:uid="{8B7BD120-A31D-4084-9809-6DFFC9E6E922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Deferred income tax provision (benefit), FY2022. https://www.sec.gov/Archives/edgar/data/101829/000010182924000008/rtx-20231231.htm</t>
        </r>
      </text>
    </comment>
    <comment ref="D148" authorId="0" shapeId="0" xr:uid="{0FC99DDC-634E-4599-B3CA-BC7769E190B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Deferred income tax provision (benefit), FY2023. https://www.sec.gov/Archives/edgar/data/101829/000010182926000006/rtx-20251231.htm</t>
        </r>
      </text>
    </comment>
    <comment ref="E148" authorId="0" shapeId="0" xr:uid="{BA0A1E87-76D9-4E8D-90B0-E6837962D3CB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Deferred income tax provision (benefit), FY2024. https://www.sec.gov/Archives/edgar/data/101829/000010182926000006/rtx-20251231.htm</t>
        </r>
      </text>
    </comment>
    <comment ref="F148" authorId="0" shapeId="0" xr:uid="{FC084907-2134-40B0-87A9-77436BA3AB62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Deferred income tax provision (benefit), FY2025. https://www.sec.gov/Archives/edgar/data/101829/000010182926000006/rtx-20251231.htm</t>
        </r>
      </text>
    </comment>
    <comment ref="G148" authorId="0" shapeId="0" xr:uid="{BC5F9AA8-A989-4813-91E9-665D0DD13C47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Deferred income tax provision (benefit), 9M 2025. https://www.sec.gov/Archives/edgar/data/0000101829/000010182926000030/rtx-20261020.htm</t>
        </r>
      </text>
    </comment>
    <comment ref="H148" authorId="0" shapeId="0" xr:uid="{75608B22-1815-4012-946C-DFDB915C642A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Deferred income tax provision (benefit), 9M 2026. https://www.sec.gov/Archives/edgar/data/0000101829/000010182926000030/rtx-20261020.htm</t>
        </r>
      </text>
    </comment>
    <comment ref="I148" authorId="0" shapeId="0" xr:uid="{B0CE5E64-2F41-4F7A-854E-7697C0F29F7B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Deferred income tax provision (benefit), Q3 2026. https://www.sec.gov/Archives/edgar/data/0000101829/000010182926000030/rtx-20261020.htm</t>
        </r>
      </text>
    </comment>
    <comment ref="B149" authorId="0" shapeId="0" xr:uid="{6D272229-FACD-442B-8439-1160E72540C7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Stock compensation cost, FY2021. https://www.sec.gov/Archives/edgar/data/101829/000010182924000008/rtx-20231231.htm</t>
        </r>
      </text>
    </comment>
    <comment ref="C149" authorId="0" shapeId="0" xr:uid="{AF31E946-EC11-4B5B-ABD6-40EFB1D80C6F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Stock compensation cost, FY2022. https://www.sec.gov/Archives/edgar/data/101829/000010182924000008/rtx-20231231.htm</t>
        </r>
      </text>
    </comment>
    <comment ref="D149" authorId="0" shapeId="0" xr:uid="{186DC0B8-8595-4E45-9C48-7BAA38D57DF1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Stock compensation cost, FY2023. https://www.sec.gov/Archives/edgar/data/101829/000010182926000006/rtx-20251231.htm</t>
        </r>
      </text>
    </comment>
    <comment ref="E149" authorId="0" shapeId="0" xr:uid="{ACD4F226-4F22-4BD0-BE09-DD7FE3A09565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Stock compensation cost, FY2024. https://www.sec.gov/Archives/edgar/data/101829/000010182926000006/rtx-20251231.htm</t>
        </r>
      </text>
    </comment>
    <comment ref="F149" authorId="0" shapeId="0" xr:uid="{5ACB4F2D-0C36-41A7-8306-BB612FD28E10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Stock compensation cost, FY2025. https://www.sec.gov/Archives/edgar/data/101829/000010182926000006/rtx-20251231.htm</t>
        </r>
      </text>
    </comment>
    <comment ref="G149" authorId="0" shapeId="0" xr:uid="{479AD501-C7A7-44DF-B4AB-05B208DA7F43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Stock compensation cost, 9M 2025. https://www.sec.gov/Archives/edgar/data/0000101829/000010182926000030/rtx-20261020.htm</t>
        </r>
      </text>
    </comment>
    <comment ref="H149" authorId="0" shapeId="0" xr:uid="{7246A7F2-C148-43E1-99D5-662B5BFC562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Stock compensation cost, 9M 2026. https://www.sec.gov/Archives/edgar/data/0000101829/000010182926000030/rtx-20261020.htm</t>
        </r>
      </text>
    </comment>
    <comment ref="I149" authorId="0" shapeId="0" xr:uid="{877A492D-24BE-4186-97B5-A493D59ED513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Stock compensation cost, Q3 2026. https://www.sec.gov/Archives/edgar/data/0000101829/000010182926000030/rtx-20261020.htm</t>
        </r>
      </text>
    </comment>
    <comment ref="B150" authorId="0" shapeId="0" xr:uid="{0304595C-B53E-4AF9-83AC-773B4575AEC1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Net periodic pension and postretirement income, FY2021. https://www.sec.gov/Archives/edgar/data/101829/000010182924000008/rtx-20231231.htm</t>
        </r>
      </text>
    </comment>
    <comment ref="C150" authorId="0" shapeId="0" xr:uid="{EA3C1C3D-4FD3-4EEC-B107-8FAD9F85723C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Net periodic pension and postretirement income, FY2022. https://www.sec.gov/Archives/edgar/data/101829/000010182924000008/rtx-20231231.htm</t>
        </r>
      </text>
    </comment>
    <comment ref="D150" authorId="0" shapeId="0" xr:uid="{A5CEB6AC-BADD-4915-ACC4-953480A77EC8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Net periodic pension and postretirement income, FY2023. https://www.sec.gov/Archives/edgar/data/101829/000010182926000006/rtx-20251231.htm</t>
        </r>
      </text>
    </comment>
    <comment ref="E150" authorId="0" shapeId="0" xr:uid="{D1D09EEB-456E-452C-87E6-F2A2B0BE6B6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Net periodic pension and postretirement income, FY2024. https://www.sec.gov/Archives/edgar/data/101829/000010182926000006/rtx-20251231.htm</t>
        </r>
      </text>
    </comment>
    <comment ref="F150" authorId="0" shapeId="0" xr:uid="{4304F292-EEF2-4A79-A0D5-6748F34539E0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Net periodic pension and postretirement income, FY2025. https://www.sec.gov/Archives/edgar/data/101829/000010182926000006/rtx-20251231.htm</t>
        </r>
      </text>
    </comment>
    <comment ref="G150" authorId="0" shapeId="0" xr:uid="{2B8CA880-730C-4433-97FF-7FD5E6D5A3B8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Net periodic pension and postretirement income, 9M 2025. https://www.sec.gov/Archives/edgar/data/0000101829/000010182926000030/rtx-20261020.htm</t>
        </r>
      </text>
    </comment>
    <comment ref="H150" authorId="0" shapeId="0" xr:uid="{71E91B8D-4810-4B81-A9C9-B92B6F86C41A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Net periodic pension and postretirement income, 9M 2026. https://www.sec.gov/Archives/edgar/data/0000101829/000010182926000030/rtx-20261020.htm</t>
        </r>
      </text>
    </comment>
    <comment ref="I150" authorId="0" shapeId="0" xr:uid="{DBB4F626-594C-4EFB-AB0C-6EB2F3FA08D7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Net periodic pension and postretirement income, Q3 2026. https://www.sec.gov/Archives/edgar/data/0000101829/000010182926000030/rtx-20261020.htm</t>
        </r>
      </text>
    </comment>
    <comment ref="B151" authorId="0" shapeId="0" xr:uid="{AD684123-81C2-4CF8-854C-83536976C225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Share-based 401(k) matching contributions, FY2021. https://www.sec.gov/Archives/edgar/data/101829/000010182924000008/rtx-20231231.htm</t>
        </r>
      </text>
    </comment>
    <comment ref="C151" authorId="0" shapeId="0" xr:uid="{F98311C4-F310-47D5-BDF6-EE292F71920E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Share-based 401(k) matching contributions, FY2022. https://www.sec.gov/Archives/edgar/data/101829/000010182924000008/rtx-20231231.htm</t>
        </r>
      </text>
    </comment>
    <comment ref="D151" authorId="0" shapeId="0" xr:uid="{EC7B2F95-FBC1-4324-9A92-CFB265AC0C1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Share-based 401(k) matching contributions, FY2023. https://www.sec.gov/Archives/edgar/data/101829/000010182926000006/rtx-20251231.htm</t>
        </r>
      </text>
    </comment>
    <comment ref="E151" authorId="0" shapeId="0" xr:uid="{A740AE4C-291A-4BF6-A2AF-CB354F4C731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Share-based 401(k) matching contributions, FY2024. https://www.sec.gov/Archives/edgar/data/101829/000010182926000006/rtx-20251231.htm</t>
        </r>
      </text>
    </comment>
    <comment ref="F151" authorId="0" shapeId="0" xr:uid="{61AC81F2-0335-40AE-9002-8EF9B3F4978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Share-based 401(k) matching contributions, FY2025. https://www.sec.gov/Archives/edgar/data/101829/000010182926000006/rtx-20251231.htm</t>
        </r>
      </text>
    </comment>
    <comment ref="G151" authorId="0" shapeId="0" xr:uid="{CDC76FFB-F3EF-4C34-8EAF-8C5563B174F8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Share-based 401(k) matching contributions, 9M 2025. https://www.sec.gov/Archives/edgar/data/0000101829/000010182926000030/rtx-20261020.htm</t>
        </r>
      </text>
    </comment>
    <comment ref="H151" authorId="0" shapeId="0" xr:uid="{D13859E6-4910-43F0-A70F-78A313EE978B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Share-based 401(k) matching contributions, 9M 2026. https://www.sec.gov/Archives/edgar/data/0000101829/000010182926000030/rtx-20261020.htm</t>
        </r>
      </text>
    </comment>
    <comment ref="I151" authorId="0" shapeId="0" xr:uid="{AA38B656-EECC-440A-8A28-945A1A3ED537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Share-based 401(k) matching contributions, Q3 2026. https://www.sec.gov/Archives/edgar/data/0000101829/000010182926000030/rtx-20261020.htm</t>
        </r>
      </text>
    </comment>
    <comment ref="B152" authorId="0" shapeId="0" xr:uid="{45971712-5563-466E-9DE5-293482FF0145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Debt extinguishment costs and gain on sale (non-cash), FY2021. https://www.sec.gov/Archives/edgar/data/101829/000010182924000008/rtx-20231231.htm</t>
        </r>
      </text>
    </comment>
    <comment ref="C152" authorId="0" shapeId="0" xr:uid="{A8F85FDE-3DD6-4964-86A6-7C904B14D917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Debt extinguishment costs and gain on sale (non-cash), FY2022. https://www.sec.gov/Archives/edgar/data/101829/000010182924000008/rtx-20231231.htm</t>
        </r>
      </text>
    </comment>
    <comment ref="D152" authorId="0" shapeId="0" xr:uid="{616F6720-0661-436F-BDFD-8D07BA47A0AC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Debt extinguishment costs and gain on sale (non-cash), FY2023. https://www.sec.gov/Archives/edgar/data/101829/000010182926000006/rtx-20251231.htm</t>
        </r>
      </text>
    </comment>
    <comment ref="E152" authorId="0" shapeId="0" xr:uid="{15552264-BC49-470E-BB2F-958326F032A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Debt extinguishment costs and gain on sale (non-cash), FY2024. https://www.sec.gov/Archives/edgar/data/101829/000010182926000006/rtx-20251231.htm</t>
        </r>
      </text>
    </comment>
    <comment ref="F152" authorId="0" shapeId="0" xr:uid="{64CF253E-B8EC-45C7-9EE4-AA04044F5882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Debt extinguishment costs and gain on sale (non-cash), FY2025. https://www.sec.gov/Archives/edgar/data/101829/000010182926000006/rtx-20251231.htm</t>
        </r>
      </text>
    </comment>
    <comment ref="G152" authorId="0" shapeId="0" xr:uid="{170CCF4B-83FC-47BC-A424-E90A9DE27A37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Debt extinguishment costs and gain on sale (non-cash), 9M 2025. https://www.sec.gov/Archives/edgar/data/0000101829/000010182926000030/rtx-20261020.htm</t>
        </r>
      </text>
    </comment>
    <comment ref="H152" authorId="0" shapeId="0" xr:uid="{4D778EAB-EDF0-4BB4-9F7E-E4529DADD487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Debt extinguishment costs and gain on sale (non-cash), 9M 2026. https://www.sec.gov/Archives/edgar/data/0000101829/000010182926000030/rtx-20261020.htm</t>
        </r>
      </text>
    </comment>
    <comment ref="I152" authorId="0" shapeId="0" xr:uid="{35E7BABD-62C6-409A-86CF-F0F9C75C0F4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Debt extinguishment costs and gain on sale (non-cash), Q3 2026. https://www.sec.gov/Archives/edgar/data/0000101829/000010182926000030/rtx-20261020.htm</t>
        </r>
      </text>
    </comment>
    <comment ref="B153" authorId="0" shapeId="0" xr:uid="{E41072D0-DFA0-4AE0-A21B-EB9987A01261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Change in accounts receivable, FY2021. https://www.sec.gov/Archives/edgar/data/101829/000010182924000008/rtx-20231231.htm</t>
        </r>
      </text>
    </comment>
    <comment ref="C153" authorId="0" shapeId="0" xr:uid="{80B4B410-BE07-48B1-9BBB-AB79C7535980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Change in accounts receivable, FY2022. https://www.sec.gov/Archives/edgar/data/101829/000010182924000008/rtx-20231231.htm</t>
        </r>
      </text>
    </comment>
    <comment ref="D153" authorId="0" shapeId="0" xr:uid="{7F6C0473-B7B1-48A3-8C93-2FEE7A7C394F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accounts receivable, FY2023. https://www.sec.gov/Archives/edgar/data/101829/000010182926000006/rtx-20251231.htm</t>
        </r>
      </text>
    </comment>
    <comment ref="E153" authorId="0" shapeId="0" xr:uid="{04FED567-ECB3-4211-B1CB-05F8FED226B2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accounts receivable, FY2024. https://www.sec.gov/Archives/edgar/data/101829/000010182926000006/rtx-20251231.htm</t>
        </r>
      </text>
    </comment>
    <comment ref="F153" authorId="0" shapeId="0" xr:uid="{B64959C5-0218-40B0-B020-FFE22057B514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accounts receivable, FY2025. https://www.sec.gov/Archives/edgar/data/101829/000010182926000006/rtx-20251231.htm</t>
        </r>
      </text>
    </comment>
    <comment ref="G153" authorId="0" shapeId="0" xr:uid="{F54D6413-A7A2-4CA8-8422-3DA4EA5C37C4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accounts receivable, 9M 2025. https://www.sec.gov/Archives/edgar/data/0000101829/000010182926000030/rtx-20261020.htm</t>
        </r>
      </text>
    </comment>
    <comment ref="H153" authorId="0" shapeId="0" xr:uid="{1F60A4B1-AA4E-4636-85AB-D4A18432D0D6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accounts receivable, 9M 2026. https://www.sec.gov/Archives/edgar/data/0000101829/000010182926000030/rtx-20261020.htm</t>
        </r>
      </text>
    </comment>
    <comment ref="I153" authorId="0" shapeId="0" xr:uid="{60E2DA17-4056-4217-8083-1B10F4E7E333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accounts receivable, Q3 2026. https://www.sec.gov/Archives/edgar/data/0000101829/000010182926000030/rtx-20261020.htm</t>
        </r>
      </text>
    </comment>
    <comment ref="B154" authorId="0" shapeId="0" xr:uid="{60C21619-7D5D-4548-9139-92FAB93257FC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Change in contract assets, FY2021. https://www.sec.gov/Archives/edgar/data/101829/000010182924000008/rtx-20231231.htm</t>
        </r>
      </text>
    </comment>
    <comment ref="C154" authorId="0" shapeId="0" xr:uid="{1556FBF8-0153-41DE-A12A-7905D1B7391A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Change in contract assets, FY2022. https://www.sec.gov/Archives/edgar/data/101829/000010182924000008/rtx-20231231.htm</t>
        </r>
      </text>
    </comment>
    <comment ref="D154" authorId="0" shapeId="0" xr:uid="{D0C70687-AF17-4627-956F-793C860F5A17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contract assets, FY2023. https://www.sec.gov/Archives/edgar/data/101829/000010182926000006/rtx-20251231.htm</t>
        </r>
      </text>
    </comment>
    <comment ref="E154" authorId="0" shapeId="0" xr:uid="{0EAE3659-3ADC-48F4-AB5D-B9ED749BB306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contract assets, FY2024. https://www.sec.gov/Archives/edgar/data/101829/000010182926000006/rtx-20251231.htm</t>
        </r>
      </text>
    </comment>
    <comment ref="F154" authorId="0" shapeId="0" xr:uid="{E681A557-D876-4B20-98B0-E78022B8D1A1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contract assets, FY2025. https://www.sec.gov/Archives/edgar/data/101829/000010182926000006/rtx-20251231.htm</t>
        </r>
      </text>
    </comment>
    <comment ref="G154" authorId="0" shapeId="0" xr:uid="{3CD1E448-CB7C-43E5-93FE-C2390418E83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contract assets, 9M 2025. https://www.sec.gov/Archives/edgar/data/0000101829/000010182926000030/rtx-20261020.htm</t>
        </r>
      </text>
    </comment>
    <comment ref="H154" authorId="0" shapeId="0" xr:uid="{3B421923-D8D3-4F3C-A2D0-4E959C109A9B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contract assets, 9M 2026. https://www.sec.gov/Archives/edgar/data/0000101829/000010182926000030/rtx-20261020.htm</t>
        </r>
      </text>
    </comment>
    <comment ref="I154" authorId="0" shapeId="0" xr:uid="{1E4AC83E-15AC-4057-B54E-9B604404923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contract assets, Q3 2026. https://www.sec.gov/Archives/edgar/data/0000101829/000010182926000030/rtx-20261020.htm</t>
        </r>
      </text>
    </comment>
    <comment ref="B155" authorId="0" shapeId="0" xr:uid="{DE1865FC-23C1-4C59-B422-153165C4B03C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Change in inventory, FY2021. https://www.sec.gov/Archives/edgar/data/101829/000010182924000008/rtx-20231231.htm</t>
        </r>
      </text>
    </comment>
    <comment ref="C155" authorId="0" shapeId="0" xr:uid="{8F03E198-52C4-40DB-90FF-399DD17C4AE0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Change in inventory, FY2022. https://www.sec.gov/Archives/edgar/data/101829/000010182924000008/rtx-20231231.htm</t>
        </r>
      </text>
    </comment>
    <comment ref="D155" authorId="0" shapeId="0" xr:uid="{DCA1B7C8-207D-45B7-912B-3E646D6D481D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inventory, FY2023. https://www.sec.gov/Archives/edgar/data/101829/000010182926000006/rtx-20251231.htm</t>
        </r>
      </text>
    </comment>
    <comment ref="E155" authorId="0" shapeId="0" xr:uid="{6CE5B9B5-D01F-4F34-99C2-39FFF7C73185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inventory, FY2024. https://www.sec.gov/Archives/edgar/data/101829/000010182926000006/rtx-20251231.htm</t>
        </r>
      </text>
    </comment>
    <comment ref="F155" authorId="0" shapeId="0" xr:uid="{ED10A180-414D-4EE5-BA4E-99408E7AD60D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inventory, FY2025. https://www.sec.gov/Archives/edgar/data/101829/000010182926000006/rtx-20251231.htm</t>
        </r>
      </text>
    </comment>
    <comment ref="G155" authorId="0" shapeId="0" xr:uid="{A48A245E-B0CB-411C-BA7A-8EB776DA90C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inventory, 9M 2025. https://www.sec.gov/Archives/edgar/data/0000101829/000010182926000030/rtx-20261020.htm</t>
        </r>
      </text>
    </comment>
    <comment ref="H155" authorId="0" shapeId="0" xr:uid="{2BE439E1-31CB-4A74-9E8C-7E3F976F030A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inventory, 9M 2026. https://www.sec.gov/Archives/edgar/data/0000101829/000010182926000030/rtx-20261020.htm</t>
        </r>
      </text>
    </comment>
    <comment ref="I155" authorId="0" shapeId="0" xr:uid="{BA179986-1E12-4A5F-B89B-94306B8A86D6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inventory, Q3 2026. https://www.sec.gov/Archives/edgar/data/0000101829/000010182926000030/rtx-20261020.htm</t>
        </r>
      </text>
    </comment>
    <comment ref="B156" authorId="0" shapeId="0" xr:uid="{B9EB3010-ACCD-4A35-8301-19BF7551E657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Change in other current assets, FY2021. https://www.sec.gov/Archives/edgar/data/101829/000010182924000008/rtx-20231231.htm</t>
        </r>
      </text>
    </comment>
    <comment ref="C156" authorId="0" shapeId="0" xr:uid="{F395507E-2A64-45A6-BDD0-702715366488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Change in other current assets, FY2022. https://www.sec.gov/Archives/edgar/data/101829/000010182924000008/rtx-20231231.htm</t>
        </r>
      </text>
    </comment>
    <comment ref="D156" authorId="0" shapeId="0" xr:uid="{F9A5B868-CDC6-40CC-B7D1-B3B573255DC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other current assets, FY2023. https://www.sec.gov/Archives/edgar/data/101829/000010182926000006/rtx-20251231.htm</t>
        </r>
      </text>
    </comment>
    <comment ref="E156" authorId="0" shapeId="0" xr:uid="{2EAF5A48-5488-49E2-B003-77990F6B699B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other current assets, FY2024. https://www.sec.gov/Archives/edgar/data/101829/000010182926000006/rtx-20251231.htm</t>
        </r>
      </text>
    </comment>
    <comment ref="F156" authorId="0" shapeId="0" xr:uid="{E6004A9A-4058-439C-90E2-8F81DFBAF0EC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other current assets, FY2025. https://www.sec.gov/Archives/edgar/data/101829/000010182926000006/rtx-20251231.htm</t>
        </r>
      </text>
    </comment>
    <comment ref="G156" authorId="0" shapeId="0" xr:uid="{1F3B8B66-7644-449A-A3C2-CDE56A54F0E2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other current assets, 9M 2025. https://www.sec.gov/Archives/edgar/data/0000101829/000010182926000030/rtx-20261020.htm</t>
        </r>
      </text>
    </comment>
    <comment ref="H156" authorId="0" shapeId="0" xr:uid="{FAB4237A-F0AB-474E-9F6A-0557F339639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other current assets, 9M 2026. https://www.sec.gov/Archives/edgar/data/0000101829/000010182926000030/rtx-20261020.htm</t>
        </r>
      </text>
    </comment>
    <comment ref="I156" authorId="0" shapeId="0" xr:uid="{75A54616-A44A-494F-8CE2-C0A33ADE8B7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other current assets, Q3 2026. https://www.sec.gov/Archives/edgar/data/0000101829/000010182926000030/rtx-20261020.htm</t>
        </r>
      </text>
    </comment>
    <comment ref="B157" authorId="0" shapeId="0" xr:uid="{406CA4B6-ECF9-47B2-B6F5-1D9BBBD3C7BF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Change in accounts payable and accrued liabilities, FY2021. https://www.sec.gov/Archives/edgar/data/101829/000010182924000008/rtx-20231231.htm</t>
        </r>
      </text>
    </comment>
    <comment ref="C157" authorId="0" shapeId="0" xr:uid="{A64514CA-50E2-440F-A121-BDBDAC1D70DA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Change in accounts payable and accrued liabilities, FY2022. https://www.sec.gov/Archives/edgar/data/101829/000010182924000008/rtx-20231231.htm</t>
        </r>
      </text>
    </comment>
    <comment ref="D157" authorId="0" shapeId="0" xr:uid="{C32743EC-6145-44CC-A153-4B45D5AC0DDF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accounts payable and accrued liabilities, FY2023. https://www.sec.gov/Archives/edgar/data/101829/000010182926000006/rtx-20251231.htm</t>
        </r>
      </text>
    </comment>
    <comment ref="E157" authorId="0" shapeId="0" xr:uid="{223C512E-31E5-4C50-8020-1E6DC7D7FA55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accounts payable and accrued liabilities, FY2024. https://www.sec.gov/Archives/edgar/data/101829/000010182926000006/rtx-20251231.htm</t>
        </r>
      </text>
    </comment>
    <comment ref="F157" authorId="0" shapeId="0" xr:uid="{A11A028F-2E97-4081-838B-F80D434A83EC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accounts payable and accrued liabilities, FY2025. https://www.sec.gov/Archives/edgar/data/101829/000010182926000006/rtx-20251231.htm</t>
        </r>
      </text>
    </comment>
    <comment ref="G157" authorId="0" shapeId="0" xr:uid="{4B2BC6D7-2E83-4A93-BA42-2D914F1746ED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accounts payable and accrued liabilities, 9M 2025. https://www.sec.gov/Archives/edgar/data/0000101829/000010182926000030/rtx-20261020.htm</t>
        </r>
      </text>
    </comment>
    <comment ref="H157" authorId="0" shapeId="0" xr:uid="{297E6872-F5F4-47E7-8017-7C761469D9BB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accounts payable and accrued liabilities, 9M 2026. https://www.sec.gov/Archives/edgar/data/0000101829/000010182926000030/rtx-20261020.htm</t>
        </r>
      </text>
    </comment>
    <comment ref="I157" authorId="0" shapeId="0" xr:uid="{852A0DAC-4979-43F7-A4D1-2DAE28FFD247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accounts payable and accrued liabilities, Q3 2026. https://www.sec.gov/Archives/edgar/data/0000101829/000010182926000030/rtx-20261020.htm</t>
        </r>
      </text>
    </comment>
    <comment ref="B158" authorId="0" shapeId="0" xr:uid="{99C7D210-B5F5-463B-A81C-B1C3E607CE19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Change in contract liabilities, FY2021. https://www.sec.gov/Archives/edgar/data/101829/000010182924000008/rtx-20231231.htm</t>
        </r>
      </text>
    </comment>
    <comment ref="C158" authorId="0" shapeId="0" xr:uid="{7C3EC98E-5090-4FD4-8F40-5C29E38F1648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Change in contract liabilities, FY2022. https://www.sec.gov/Archives/edgar/data/101829/000010182924000008/rtx-20231231.htm</t>
        </r>
      </text>
    </comment>
    <comment ref="D158" authorId="0" shapeId="0" xr:uid="{CBACB844-8E77-4999-8180-B48FEBAF5F85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contract liabilities, FY2023. https://www.sec.gov/Archives/edgar/data/101829/000010182926000006/rtx-20251231.htm</t>
        </r>
      </text>
    </comment>
    <comment ref="E158" authorId="0" shapeId="0" xr:uid="{08DC4492-6906-483C-8C66-338C332D725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contract liabilities, FY2024. https://www.sec.gov/Archives/edgar/data/101829/000010182926000006/rtx-20251231.htm</t>
        </r>
      </text>
    </comment>
    <comment ref="F158" authorId="0" shapeId="0" xr:uid="{D2033D9F-F845-4F3A-87F4-CA630DBCB05F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contract liabilities, FY2025. https://www.sec.gov/Archives/edgar/data/101829/000010182926000006/rtx-20251231.htm</t>
        </r>
      </text>
    </comment>
    <comment ref="G158" authorId="0" shapeId="0" xr:uid="{9F6F9CA9-1E52-402F-AB28-FF9660FB24F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contract liabilities, 9M 2025. https://www.sec.gov/Archives/edgar/data/0000101829/000010182926000030/rtx-20261020.htm</t>
        </r>
      </text>
    </comment>
    <comment ref="H158" authorId="0" shapeId="0" xr:uid="{B9F0A7DE-B3D6-4B81-9449-1AC0A64B9363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contract liabilities, 9M 2026. https://www.sec.gov/Archives/edgar/data/0000101829/000010182926000030/rtx-20261020.htm</t>
        </r>
      </text>
    </comment>
    <comment ref="I158" authorId="0" shapeId="0" xr:uid="{9CECCD11-BDD6-49ED-8CEC-61D3824118B1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contract liabilities, Q3 2026. https://www.sec.gov/Archives/edgar/data/0000101829/000010182926000030/rtx-20261020.htm</t>
        </r>
      </text>
    </comment>
    <comment ref="B159" authorId="0" shapeId="0" xr:uid="{A8E72B59-361B-4084-AD76-F13CB9FF17DC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Other operating activities, net, FY2021. https://www.sec.gov/Archives/edgar/data/101829/000010182924000008/rtx-20231231.htm</t>
        </r>
      </text>
    </comment>
    <comment ref="C159" authorId="0" shapeId="0" xr:uid="{ACCE2288-8E1A-4598-B054-83B0F6D257A0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Other operating activities, net, FY2022. https://www.sec.gov/Archives/edgar/data/101829/000010182924000008/rtx-20231231.htm</t>
        </r>
      </text>
    </comment>
    <comment ref="D159" authorId="0" shapeId="0" xr:uid="{5D4F3BCD-0B24-4320-AC88-DC09D194962B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Other operating activities, net, FY2023. https://www.sec.gov/Archives/edgar/data/101829/000010182926000006/rtx-20251231.htm</t>
        </r>
      </text>
    </comment>
    <comment ref="E159" authorId="0" shapeId="0" xr:uid="{3860D8A5-B9A1-4EF0-8847-3DBDDEBAB065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Other operating activities, net, FY2024. https://www.sec.gov/Archives/edgar/data/101829/000010182926000006/rtx-20251231.htm</t>
        </r>
      </text>
    </comment>
    <comment ref="F159" authorId="0" shapeId="0" xr:uid="{EB578065-67F8-4735-8CCD-D2FF8055A82B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Other operating activities, net, FY2025. https://www.sec.gov/Archives/edgar/data/101829/000010182926000006/rtx-20251231.htm</t>
        </r>
      </text>
    </comment>
    <comment ref="G159" authorId="0" shapeId="0" xr:uid="{1A998927-3B83-4656-A694-C03F8648F5F2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Other operating activities, net, 9M 2025. https://www.sec.gov/Archives/edgar/data/0000101829/000010182926000030/rtx-20261020.htm</t>
        </r>
      </text>
    </comment>
    <comment ref="H159" authorId="0" shapeId="0" xr:uid="{DE7826F3-5BE6-4D70-A1A1-D0C7478FA39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Other operating activities, net, 9M 2026. https://www.sec.gov/Archives/edgar/data/0000101829/000010182926000030/rtx-20261020.htm</t>
        </r>
      </text>
    </comment>
    <comment ref="I159" authorId="0" shapeId="0" xr:uid="{FA080DB5-1EF7-48ED-9D47-5E6AD0956EB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Other operating activities, net, Q3 2026. https://www.sec.gov/Archives/edgar/data/0000101829/000010182926000030/rtx-20261020.htm</t>
        </r>
      </text>
    </comment>
    <comment ref="B161" authorId="0" shapeId="0" xr:uid="{AF2727D1-BBE0-4647-9032-AD4B2FD52B1B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Capital expenditures, FY2021. https://www.sec.gov/Archives/edgar/data/101829/000010182924000008/rtx-20231231.htm</t>
        </r>
      </text>
    </comment>
    <comment ref="C161" authorId="0" shapeId="0" xr:uid="{B310C80E-3174-4C15-8371-A8840A816BD2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Capital expenditures, FY2022. https://www.sec.gov/Archives/edgar/data/101829/000010182924000008/rtx-20231231.htm</t>
        </r>
      </text>
    </comment>
    <comment ref="D161" authorId="0" shapeId="0" xr:uid="{F3D3952A-3307-4E3D-8EC3-9B16A03D602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Capital expenditures, FY2023. https://www.sec.gov/Archives/edgar/data/101829/000010182926000006/rtx-20251231.htm</t>
        </r>
      </text>
    </comment>
    <comment ref="E161" authorId="0" shapeId="0" xr:uid="{99C73AC0-1D51-4B76-AE7D-F8AB7A2EB739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Capital expenditures, FY2024. https://www.sec.gov/Archives/edgar/data/101829/000010182926000006/rtx-20251231.htm</t>
        </r>
      </text>
    </comment>
    <comment ref="F161" authorId="0" shapeId="0" xr:uid="{42858906-6548-4C52-A9AF-6A50123487F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Capital expenditures, FY2025. https://www.sec.gov/Archives/edgar/data/101829/000010182926000006/rtx-20251231.htm</t>
        </r>
      </text>
    </comment>
    <comment ref="G161" authorId="0" shapeId="0" xr:uid="{398DC100-B71D-42DA-A3EF-BF03007B712B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Capital expenditures, 9M 2025. https://www.sec.gov/Archives/edgar/data/0000101829/000010182926000030/rtx-20261020.htm</t>
        </r>
      </text>
    </comment>
    <comment ref="H161" authorId="0" shapeId="0" xr:uid="{50FE677F-FF30-4893-A6D6-3973DC2D324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Capital expenditures, 9M 2026. https://www.sec.gov/Archives/edgar/data/0000101829/000010182926000030/rtx-20261020.htm</t>
        </r>
      </text>
    </comment>
    <comment ref="I161" authorId="0" shapeId="0" xr:uid="{0F03C2BD-7462-47AF-94B4-4B8C88F0292B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Capital expenditures, Q3 2026. https://www.sec.gov/Archives/edgar/data/0000101829/000010182926000030/rtx-20261020.htm</t>
        </r>
      </text>
    </comment>
    <comment ref="B162" authorId="0" shapeId="0" xr:uid="{512F6C72-B896-4DE5-95C6-40DB1873A4E6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Payments on customer financing assets, FY2021. https://www.sec.gov/Archives/edgar/data/101829/000010182924000008/rtx-20231231.htm</t>
        </r>
      </text>
    </comment>
    <comment ref="C162" authorId="0" shapeId="0" xr:uid="{C5D4A0AE-C5F8-44AA-A396-303BB3760D00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Payments on customer financing assets, FY2022. https://www.sec.gov/Archives/edgar/data/101829/000010182924000008/rtx-20231231.htm</t>
        </r>
      </text>
    </comment>
    <comment ref="D162" authorId="0" shapeId="0" xr:uid="{A4E7CC50-2E0E-4D0C-B3BF-4AF58F930749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Payments on customer financing assets, FY2023. https://www.sec.gov/Archives/edgar/data/101829/000010182926000006/rtx-20251231.htm</t>
        </r>
      </text>
    </comment>
    <comment ref="E162" authorId="0" shapeId="0" xr:uid="{752485BA-DE61-4BD1-BC1C-2CA01C06AA4C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Payments on customer financing assets, FY2024. https://www.sec.gov/Archives/edgar/data/101829/000010182926000006/rtx-20251231.htm</t>
        </r>
      </text>
    </comment>
    <comment ref="F162" authorId="0" shapeId="0" xr:uid="{F4FD5BD7-BB5C-49AC-ABA2-BA23F1872DD2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Payments on customer financing assets, FY2025. https://www.sec.gov/Archives/edgar/data/101829/000010182926000006/rtx-20251231.htm</t>
        </r>
      </text>
    </comment>
    <comment ref="G162" authorId="0" shapeId="0" xr:uid="{C9D56719-88EE-46B5-AC83-210FA6FB8CE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Payments on customer financing assets, 9M 2025. https://www.sec.gov/Archives/edgar/data/0000101829/000010182926000030/rtx-20261020.htm</t>
        </r>
      </text>
    </comment>
    <comment ref="H162" authorId="0" shapeId="0" xr:uid="{415528F6-36C1-414B-98ED-2A5015EAB26D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Payments on customer financing assets, 9M 2026. https://www.sec.gov/Archives/edgar/data/0000101829/000010182926000030/rtx-20261020.htm</t>
        </r>
      </text>
    </comment>
    <comment ref="I162" authorId="0" shapeId="0" xr:uid="{067F9184-B89D-4C5B-A752-B250EDF93553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Payments on customer financing assets, Q3 2026. https://www.sec.gov/Archives/edgar/data/0000101829/000010182926000030/rtx-20261020.htm</t>
        </r>
      </text>
    </comment>
    <comment ref="B163" authorId="0" shapeId="0" xr:uid="{875651A8-F749-44B0-9083-2D74707347EA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Receipts from customer financing assets, FY2021. https://www.sec.gov/Archives/edgar/data/101829/000010182924000008/rtx-20231231.htm</t>
        </r>
      </text>
    </comment>
    <comment ref="C163" authorId="0" shapeId="0" xr:uid="{F11DF627-B042-4639-8F17-E2DBF5CD90DC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Receipts from customer financing assets, FY2022. https://www.sec.gov/Archives/edgar/data/101829/000010182924000008/rtx-20231231.htm</t>
        </r>
      </text>
    </comment>
    <comment ref="D163" authorId="0" shapeId="0" xr:uid="{884683F0-1971-43C4-9878-CC1CCB17B53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Receipts from customer financing assets, FY2023. https://www.sec.gov/Archives/edgar/data/101829/000010182926000006/rtx-20251231.htm</t>
        </r>
      </text>
    </comment>
    <comment ref="E163" authorId="0" shapeId="0" xr:uid="{CC973CAC-BC12-41DD-A688-9D3998933240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Receipts from customer financing assets, FY2024. https://www.sec.gov/Archives/edgar/data/101829/000010182926000006/rtx-20251231.htm</t>
        </r>
      </text>
    </comment>
    <comment ref="F163" authorId="0" shapeId="0" xr:uid="{36BFD28C-5D96-473E-8F1F-F4132EA7317F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Receipts from customer financing assets, FY2025. https://www.sec.gov/Archives/edgar/data/101829/000010182926000006/rtx-20251231.htm</t>
        </r>
      </text>
    </comment>
    <comment ref="G163" authorId="0" shapeId="0" xr:uid="{D186F685-0ABD-4A8F-BC8A-132E6A3DAA7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Receipts from customer financing assets, 9M 2025. https://www.sec.gov/Archives/edgar/data/0000101829/000010182926000030/rtx-20261020.htm</t>
        </r>
      </text>
    </comment>
    <comment ref="H163" authorId="0" shapeId="0" xr:uid="{9015279A-DCF4-498E-93EE-C59B11FFA48F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Receipts from customer financing assets, 9M 2026. https://www.sec.gov/Archives/edgar/data/0000101829/000010182926000030/rtx-20261020.htm</t>
        </r>
      </text>
    </comment>
    <comment ref="I163" authorId="0" shapeId="0" xr:uid="{44123C9F-BE20-4B8F-83AE-D5016CE984E3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Receipts from customer financing assets, Q3 2026. https://www.sec.gov/Archives/edgar/data/0000101829/000010182926000030/rtx-20261020.htm</t>
        </r>
      </text>
    </comment>
    <comment ref="B164" authorId="0" shapeId="0" xr:uid="{E7CE7E60-2470-492E-A930-D8FD20991916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Investments in businesses, FY2021. https://www.sec.gov/Archives/edgar/data/101829/000010182924000008/rtx-20231231.htm</t>
        </r>
      </text>
    </comment>
    <comment ref="C164" authorId="0" shapeId="0" xr:uid="{4894E1EE-F263-48BF-874A-C0DB1CE46C0F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Investments in businesses, FY2022. https://www.sec.gov/Archives/edgar/data/101829/000010182924000008/rtx-20231231.htm</t>
        </r>
      </text>
    </comment>
    <comment ref="D164" authorId="0" shapeId="0" xr:uid="{12D706E0-FEB5-4C35-9519-FF7113B4B691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Investments in businesses, FY2023. https://www.sec.gov/Archives/edgar/data/101829/000010182926000006/rtx-20251231.htm</t>
        </r>
      </text>
    </comment>
    <comment ref="E164" authorId="0" shapeId="0" xr:uid="{5014CF24-9193-4237-AF65-2387A672AB01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Investments in businesses, FY2024. https://www.sec.gov/Archives/edgar/data/101829/000010182926000006/rtx-20251231.htm</t>
        </r>
      </text>
    </comment>
    <comment ref="F164" authorId="0" shapeId="0" xr:uid="{2C5D644B-5EA6-4042-8C95-828F971D27E6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Investments in businesses, FY2025. https://www.sec.gov/Archives/edgar/data/101829/000010182926000006/rtx-20251231.htm</t>
        </r>
      </text>
    </comment>
    <comment ref="G164" authorId="0" shapeId="0" xr:uid="{B67CBEC7-45AB-4B72-BCFA-00F5E1B17C35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Investments in businesses, 9M 2025. https://www.sec.gov/Archives/edgar/data/0000101829/000010182926000030/rtx-20261020.htm</t>
        </r>
      </text>
    </comment>
    <comment ref="H164" authorId="0" shapeId="0" xr:uid="{97AA7656-930B-4251-9BAC-6CB3A39BD57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Investments in businesses, 9M 2026. https://www.sec.gov/Archives/edgar/data/0000101829/000010182926000030/rtx-20261020.htm</t>
        </r>
      </text>
    </comment>
    <comment ref="I164" authorId="0" shapeId="0" xr:uid="{BF8715A1-658D-4AD2-B66F-897FC78EEB43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Investments in businesses, Q3 2026. https://www.sec.gov/Archives/edgar/data/0000101829/000010182926000030/rtx-20261020.htm</t>
        </r>
      </text>
    </comment>
    <comment ref="B165" authorId="0" shapeId="0" xr:uid="{6397DC8E-4F95-4044-9A5F-F9FF57795655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Dispositions of businesses, net of cash transferred, FY2021. https://www.sec.gov/Archives/edgar/data/101829/000010182924000008/rtx-20231231.htm</t>
        </r>
      </text>
    </comment>
    <comment ref="C165" authorId="0" shapeId="0" xr:uid="{502D0B90-1021-40EA-BB91-68DCCA2A0E7C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Dispositions of businesses, net of cash transferred, FY2022. https://www.sec.gov/Archives/edgar/data/101829/000010182924000008/rtx-20231231.htm</t>
        </r>
      </text>
    </comment>
    <comment ref="D165" authorId="0" shapeId="0" xr:uid="{55F1666D-4C5A-486C-8E71-BAD296AF1639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Dispositions of businesses, net of cash transferred, FY2023. https://www.sec.gov/Archives/edgar/data/101829/000010182926000006/rtx-20251231.htm</t>
        </r>
      </text>
    </comment>
    <comment ref="E165" authorId="0" shapeId="0" xr:uid="{ABD1B9D8-399B-4D5B-B9B4-7DF20ABFB89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Dispositions of businesses, net of cash transferred, FY2024. https://www.sec.gov/Archives/edgar/data/101829/000010182926000006/rtx-20251231.htm</t>
        </r>
      </text>
    </comment>
    <comment ref="F165" authorId="0" shapeId="0" xr:uid="{06D3F811-4F51-46D8-BBD6-46C13EB70E44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Dispositions of businesses, net of cash transferred, FY2025. https://www.sec.gov/Archives/edgar/data/101829/000010182926000006/rtx-20251231.htm</t>
        </r>
      </text>
    </comment>
    <comment ref="G165" authorId="0" shapeId="0" xr:uid="{353ACB14-CAF8-496D-B340-402DF3B97B9D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Dispositions of businesses, net of cash transferred, 9M 2025. https://www.sec.gov/Archives/edgar/data/0000101829/000010182926000030/rtx-20261020.htm</t>
        </r>
      </text>
    </comment>
    <comment ref="H165" authorId="0" shapeId="0" xr:uid="{801FF226-52A8-43B7-863A-1B815BB4243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Dispositions of businesses, net of cash transferred, 9M 2026. https://www.sec.gov/Archives/edgar/data/0000101829/000010182926000030/rtx-20261020.htm</t>
        </r>
      </text>
    </comment>
    <comment ref="I165" authorId="0" shapeId="0" xr:uid="{0E97F700-A694-4314-9528-9AFA38B39402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Dispositions of businesses, net of cash transferred, Q3 2026. https://www.sec.gov/Archives/edgar/data/0000101829/000010182926000030/rtx-20261020.htm</t>
        </r>
      </text>
    </comment>
    <comment ref="B166" authorId="0" shapeId="0" xr:uid="{A020EA8C-4CC4-4CCD-B9A5-54DE0B6480CC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Increase in other intangible assets, FY2021. https://www.sec.gov/Archives/edgar/data/101829/000010182924000008/rtx-20231231.htm</t>
        </r>
      </text>
    </comment>
    <comment ref="C166" authorId="0" shapeId="0" xr:uid="{2420F069-E5C0-4C58-B116-8C98F3CC6A16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Increase in other intangible assets, FY2022. https://www.sec.gov/Archives/edgar/data/101829/000010182924000008/rtx-20231231.htm</t>
        </r>
      </text>
    </comment>
    <comment ref="D166" authorId="0" shapeId="0" xr:uid="{B5DB1F98-6174-45A5-9505-6427072E50A6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Increase in other intangible assets, FY2023. https://www.sec.gov/Archives/edgar/data/101829/000010182926000006/rtx-20251231.htm</t>
        </r>
      </text>
    </comment>
    <comment ref="E166" authorId="0" shapeId="0" xr:uid="{EE066B71-6CE0-4FB1-9D23-748559D1CC5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Increase in other intangible assets, FY2024. https://www.sec.gov/Archives/edgar/data/101829/000010182926000006/rtx-20251231.htm</t>
        </r>
      </text>
    </comment>
    <comment ref="F166" authorId="0" shapeId="0" xr:uid="{817DE0A5-4B52-4683-94B9-B5A5451ED870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Increase in other intangible assets, FY2025. https://www.sec.gov/Archives/edgar/data/101829/000010182926000006/rtx-20251231.htm</t>
        </r>
      </text>
    </comment>
    <comment ref="G166" authorId="0" shapeId="0" xr:uid="{7A2C3049-333B-472C-9438-C334D2F3E9B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Increase in other intangible assets, 9M 2025. https://www.sec.gov/Archives/edgar/data/0000101829/000010182926000030/rtx-20261020.htm</t>
        </r>
      </text>
    </comment>
    <comment ref="H166" authorId="0" shapeId="0" xr:uid="{AD74739B-9A5B-4385-B060-4616E9632417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Increase in other intangible assets, 9M 2026. https://www.sec.gov/Archives/edgar/data/0000101829/000010182926000030/rtx-20261020.htm</t>
        </r>
      </text>
    </comment>
    <comment ref="I166" authorId="0" shapeId="0" xr:uid="{7219B836-F184-4FCF-B31B-4C55CAC95E46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Increase in other intangible assets, Q3 2026. https://www.sec.gov/Archives/edgar/data/0000101829/000010182926000030/rtx-20261020.htm</t>
        </r>
      </text>
    </comment>
    <comment ref="B167" authorId="0" shapeId="0" xr:uid="{B407BAB8-0988-4234-BD35-604ED29F1D24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Settlements of derivative contracts, net, FY2021. https://www.sec.gov/Archives/edgar/data/101829/000010182924000008/rtx-20231231.htm</t>
        </r>
      </text>
    </comment>
    <comment ref="C167" authorId="0" shapeId="0" xr:uid="{F272B6D5-2299-4D47-AEC6-D9EBCEF7A498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Settlements of derivative contracts, net, FY2022. https://www.sec.gov/Archives/edgar/data/101829/000010182924000008/rtx-20231231.htm</t>
        </r>
      </text>
    </comment>
    <comment ref="D167" authorId="0" shapeId="0" xr:uid="{E1084EB4-063F-4BA3-AC93-B02D90FB7DBB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Settlements of derivative contracts, net, FY2023. https://www.sec.gov/Archives/edgar/data/101829/000010182926000006/rtx-20251231.htm</t>
        </r>
      </text>
    </comment>
    <comment ref="E167" authorId="0" shapeId="0" xr:uid="{933E8D0F-2677-4446-8208-FB2144853388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Settlements of derivative contracts, net, FY2024. https://www.sec.gov/Archives/edgar/data/101829/000010182926000006/rtx-20251231.htm</t>
        </r>
      </text>
    </comment>
    <comment ref="F167" authorId="0" shapeId="0" xr:uid="{1EC29693-771A-4D57-8E8E-8211F0EF55AD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Settlements of derivative contracts, net, FY2025. https://www.sec.gov/Archives/edgar/data/101829/000010182926000006/rtx-20251231.htm</t>
        </r>
      </text>
    </comment>
    <comment ref="G167" authorId="0" shapeId="0" xr:uid="{377B7E31-9C50-432D-AACD-F80D4436F8B4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Settlements of derivative contracts, net, 9M 2025. https://www.sec.gov/Archives/edgar/data/0000101829/000010182926000030/rtx-20261020.htm</t>
        </r>
      </text>
    </comment>
    <comment ref="H167" authorId="0" shapeId="0" xr:uid="{DF31CCD8-C23C-4D77-94C1-BE59A10E6D3B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Settlements of derivative contracts, net, 9M 2026. https://www.sec.gov/Archives/edgar/data/0000101829/000010182926000030/rtx-20261020.htm</t>
        </r>
      </text>
    </comment>
    <comment ref="I167" authorId="0" shapeId="0" xr:uid="{0FAD3F2F-FB40-4FBC-8E68-32667FBDCEE8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Settlements of derivative contracts, net, Q3 2026. https://www.sec.gov/Archives/edgar/data/0000101829/000010182926000030/rtx-20261020.htm</t>
        </r>
      </text>
    </comment>
    <comment ref="B168" authorId="0" shapeId="0" xr:uid="{69644B62-F828-4005-8254-759349C9062C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Other investing activities, net, FY2021. https://www.sec.gov/Archives/edgar/data/101829/000010182924000008/rtx-20231231.htm</t>
        </r>
      </text>
    </comment>
    <comment ref="C168" authorId="0" shapeId="0" xr:uid="{085B2C24-5B95-4D1A-B35B-E29BB6599BF3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Other investing activities, net, FY2022. https://www.sec.gov/Archives/edgar/data/101829/000010182924000008/rtx-20231231.htm</t>
        </r>
      </text>
    </comment>
    <comment ref="D168" authorId="0" shapeId="0" xr:uid="{034C65AB-C9F0-4377-A7A7-B33C61D1C207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Other investing activities, net, FY2023. https://www.sec.gov/Archives/edgar/data/101829/000010182926000006/rtx-20251231.htm</t>
        </r>
      </text>
    </comment>
    <comment ref="E168" authorId="0" shapeId="0" xr:uid="{1481E666-EC1B-4C53-A094-8134EC570187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Other investing activities, net, FY2024. https://www.sec.gov/Archives/edgar/data/101829/000010182926000006/rtx-20251231.htm</t>
        </r>
      </text>
    </comment>
    <comment ref="F168" authorId="0" shapeId="0" xr:uid="{0B57815F-DF2A-4DE6-8088-45058629550F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Other investing activities, net, FY2025. https://www.sec.gov/Archives/edgar/data/101829/000010182926000006/rtx-20251231.htm</t>
        </r>
      </text>
    </comment>
    <comment ref="G168" authorId="0" shapeId="0" xr:uid="{F80E7632-18C1-44B7-86CE-7513B3F30855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Other investing activities, net, 9M 2025. https://www.sec.gov/Archives/edgar/data/0000101829/000010182926000030/rtx-20261020.htm</t>
        </r>
      </text>
    </comment>
    <comment ref="H168" authorId="0" shapeId="0" xr:uid="{0FF2552D-2934-493F-9E47-5E34E9CC1335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Other investing activities, net, 9M 2026. https://www.sec.gov/Archives/edgar/data/0000101829/000010182926000030/rtx-20261020.htm</t>
        </r>
      </text>
    </comment>
    <comment ref="I168" authorId="0" shapeId="0" xr:uid="{8B0256A3-D90D-4BAB-9BAC-5F273E8CB48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Other investing activities, net, Q3 2026. https://www.sec.gov/Archives/edgar/data/0000101829/000010182926000030/rtx-20261020.htm</t>
        </r>
      </text>
    </comment>
    <comment ref="B170" authorId="0" shapeId="0" xr:uid="{15C4A55C-B7CF-4E35-B21B-7230A98D85A3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Proceeds from long-term debt and bridge loan, FY2021. https://www.sec.gov/Archives/edgar/data/101829/000010182924000008/rtx-20231231.htm</t>
        </r>
      </text>
    </comment>
    <comment ref="C170" authorId="0" shapeId="0" xr:uid="{37176D62-1864-4770-8C44-6720112899B7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Proceeds from long-term debt and bridge loan, FY2022. https://www.sec.gov/Archives/edgar/data/101829/000010182924000008/rtx-20231231.htm</t>
        </r>
      </text>
    </comment>
    <comment ref="D170" authorId="0" shapeId="0" xr:uid="{7A16A660-3860-45C9-BBDD-3C3A51ABFDC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Proceeds from long-term debt and bridge loan, FY2023. https://www.sec.gov/Archives/edgar/data/101829/000010182926000006/rtx-20251231.htm</t>
        </r>
      </text>
    </comment>
    <comment ref="E170" authorId="0" shapeId="0" xr:uid="{E11F8D5D-02E2-412B-B6DB-F9F399D1736F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Proceeds from long-term debt and bridge loan, FY2024. https://www.sec.gov/Archives/edgar/data/101829/000010182926000006/rtx-20251231.htm</t>
        </r>
      </text>
    </comment>
    <comment ref="F170" authorId="0" shapeId="0" xr:uid="{9586C3C4-74AD-4C2B-A762-9341B4CB5C95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Proceeds from long-term debt and bridge loan, FY2025. https://www.sec.gov/Archives/edgar/data/101829/000010182926000006/rtx-20251231.htm</t>
        </r>
      </text>
    </comment>
    <comment ref="G170" authorId="0" shapeId="0" xr:uid="{A4DA9833-2C4C-454D-9043-A53BD071D9E3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Proceeds from long-term debt and bridge loan, 9M 2025. https://www.sec.gov/Archives/edgar/data/0000101829/000010182926000030/rtx-20261020.htm</t>
        </r>
      </text>
    </comment>
    <comment ref="H170" authorId="0" shapeId="0" xr:uid="{8B50D683-55C5-42BC-9491-A78AE014AD3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Proceeds from long-term debt and bridge loan, 9M 2026. https://www.sec.gov/Archives/edgar/data/0000101829/000010182926000030/rtx-20261020.htm</t>
        </r>
      </text>
    </comment>
    <comment ref="I170" authorId="0" shapeId="0" xr:uid="{8B0B8033-685F-418C-AF20-E0BEB356678F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Proceeds from long-term debt and bridge loan, Q3 2026. https://www.sec.gov/Archives/edgar/data/0000101829/000010182926000030/rtx-20261020.htm</t>
        </r>
      </text>
    </comment>
    <comment ref="B171" authorId="0" shapeId="0" xr:uid="{D4E2E8A0-147A-4A07-9CDF-CE3F425B0092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Repayment of long-term debt and bridge loan, FY2021. https://www.sec.gov/Archives/edgar/data/101829/000010182924000008/rtx-20231231.htm</t>
        </r>
      </text>
    </comment>
    <comment ref="C171" authorId="0" shapeId="0" xr:uid="{979EE0C6-7BCC-4E74-8095-E868120307FD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Repayment of long-term debt and bridge loan, FY2022. https://www.sec.gov/Archives/edgar/data/101829/000010182924000008/rtx-20231231.htm</t>
        </r>
      </text>
    </comment>
    <comment ref="D171" authorId="0" shapeId="0" xr:uid="{5E0B3719-B154-45C4-9744-FDA83541F129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Repayment of long-term debt and bridge loan, FY2023. https://www.sec.gov/Archives/edgar/data/101829/000010182926000006/rtx-20251231.htm</t>
        </r>
      </text>
    </comment>
    <comment ref="E171" authorId="0" shapeId="0" xr:uid="{B20AB672-340C-4857-89B5-68E6436F3B46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Repayment of long-term debt and bridge loan, FY2024. https://www.sec.gov/Archives/edgar/data/101829/000010182926000006/rtx-20251231.htm</t>
        </r>
      </text>
    </comment>
    <comment ref="F171" authorId="0" shapeId="0" xr:uid="{702EFF70-5BAE-4F56-ADA8-EE3E6F2AC3E9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Repayment of long-term debt and bridge loan, FY2025. https://www.sec.gov/Archives/edgar/data/101829/000010182926000006/rtx-20251231.htm</t>
        </r>
      </text>
    </comment>
    <comment ref="G171" authorId="0" shapeId="0" xr:uid="{E08865E3-6CBC-4237-9FE5-FA1B351B127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Repayment of long-term debt and bridge loan, 9M 2025. https://www.sec.gov/Archives/edgar/data/0000101829/000010182926000030/rtx-20261020.htm</t>
        </r>
      </text>
    </comment>
    <comment ref="H171" authorId="0" shapeId="0" xr:uid="{E1BBB37E-CE25-4A70-9EEC-7ACFCCE62657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Repayment of long-term debt and bridge loan, 9M 2026. https://www.sec.gov/Archives/edgar/data/0000101829/000010182926000030/rtx-20261020.htm</t>
        </r>
      </text>
    </comment>
    <comment ref="I171" authorId="0" shapeId="0" xr:uid="{88EAB211-2E73-431C-8568-973CB82CDC7B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Repayment of long-term debt and bridge loan, Q3 2026. https://www.sec.gov/Archives/edgar/data/0000101829/000010182926000030/rtx-20261020.htm</t>
        </r>
      </text>
    </comment>
    <comment ref="B172" authorId="0" shapeId="0" xr:uid="{359C4BBF-D288-42CB-A6CF-652F2BE41192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Debt extinguishment costs, FY2021. https://www.sec.gov/Archives/edgar/data/101829/000010182924000008/rtx-20231231.htm</t>
        </r>
      </text>
    </comment>
    <comment ref="C172" authorId="0" shapeId="0" xr:uid="{832C2522-F67B-4958-9297-D0F977C55061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Debt extinguishment costs, FY2022. https://www.sec.gov/Archives/edgar/data/101829/000010182924000008/rtx-20231231.htm</t>
        </r>
      </text>
    </comment>
    <comment ref="D172" authorId="0" shapeId="0" xr:uid="{CE5A081A-25C0-40D3-8BE6-C45302F0E445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Debt extinguishment costs, FY2023. https://www.sec.gov/Archives/edgar/data/101829/000010182926000006/rtx-20251231.htm</t>
        </r>
      </text>
    </comment>
    <comment ref="E172" authorId="0" shapeId="0" xr:uid="{E4CC3E76-CC2A-4924-9966-8F4894F10875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Debt extinguishment costs, FY2024. https://www.sec.gov/Archives/edgar/data/101829/000010182926000006/rtx-20251231.htm</t>
        </r>
      </text>
    </comment>
    <comment ref="F172" authorId="0" shapeId="0" xr:uid="{24D36609-29C7-4A98-A834-895A37B50DCD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Debt extinguishment costs, FY2025. https://www.sec.gov/Archives/edgar/data/101829/000010182926000006/rtx-20251231.htm</t>
        </r>
      </text>
    </comment>
    <comment ref="G172" authorId="0" shapeId="0" xr:uid="{DAB58517-53AB-4709-B623-18D630C9CA1A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Debt extinguishment costs, 9M 2025. https://www.sec.gov/Archives/edgar/data/0000101829/000010182926000030/rtx-20261020.htm</t>
        </r>
      </text>
    </comment>
    <comment ref="H172" authorId="0" shapeId="0" xr:uid="{ECF79271-5BCC-47D2-9694-F6713F36DEA4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Debt extinguishment costs, 9M 2026. https://www.sec.gov/Archives/edgar/data/0000101829/000010182926000030/rtx-20261020.htm</t>
        </r>
      </text>
    </comment>
    <comment ref="I172" authorId="0" shapeId="0" xr:uid="{AFC4A5FA-0C5D-459C-B0EA-A0B6D25F9394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Debt extinguishment costs, Q3 2026. https://www.sec.gov/Archives/edgar/data/0000101829/000010182926000030/rtx-20261020.htm</t>
        </r>
      </text>
    </comment>
    <comment ref="B173" authorId="0" shapeId="0" xr:uid="{96953B5F-464E-4AB9-BB93-F3DE85572D30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Change in commercial paper and other short-term borrowings, net, FY2021. https://www.sec.gov/Archives/edgar/data/101829/000010182924000008/rtx-20231231.htm</t>
        </r>
      </text>
    </comment>
    <comment ref="C173" authorId="0" shapeId="0" xr:uid="{1031F505-6BD3-4947-B337-5B5CEE0445F1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Change in commercial paper and other short-term borrowings, net, FY2022. https://www.sec.gov/Archives/edgar/data/101829/000010182924000008/rtx-20231231.htm</t>
        </r>
      </text>
    </comment>
    <comment ref="D173" authorId="0" shapeId="0" xr:uid="{21AA8AED-9037-424E-8C0E-B6EBE2E98F8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commercial paper and other short-term borrowings, net, FY2023. https://www.sec.gov/Archives/edgar/data/101829/000010182926000006/rtx-20251231.htm</t>
        </r>
      </text>
    </comment>
    <comment ref="E173" authorId="0" shapeId="0" xr:uid="{D979E4D3-8818-48B6-81FB-535E07522501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commercial paper and other short-term borrowings, net, FY2024. https://www.sec.gov/Archives/edgar/data/101829/000010182926000006/rtx-20251231.htm</t>
        </r>
      </text>
    </comment>
    <comment ref="F173" authorId="0" shapeId="0" xr:uid="{E32D5C14-11F8-4849-A6F6-62D521BE912D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Change in commercial paper and other short-term borrowings, net, FY2025. https://www.sec.gov/Archives/edgar/data/101829/000010182926000006/rtx-20251231.htm</t>
        </r>
      </text>
    </comment>
    <comment ref="G173" authorId="0" shapeId="0" xr:uid="{BEB4C6E5-A627-4BD7-B311-BABA575EB8AD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commercial paper and other short-term borrowings, net, 9M 2025. https://www.sec.gov/Archives/edgar/data/0000101829/000010182926000030/rtx-20261020.htm</t>
        </r>
      </text>
    </comment>
    <comment ref="H173" authorId="0" shapeId="0" xr:uid="{D9CE77C9-1389-4945-A9D4-E9EC759C67AA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commercial paper and other short-term borrowings, net, 9M 2026. https://www.sec.gov/Archives/edgar/data/0000101829/000010182926000030/rtx-20261020.htm</t>
        </r>
      </text>
    </comment>
    <comment ref="I173" authorId="0" shapeId="0" xr:uid="{610A8D3D-664A-4263-946F-37E615A16E6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Change in commercial paper and other short-term borrowings, net, Q3 2026. https://www.sec.gov/Archives/edgar/data/0000101829/000010182926000030/rtx-20261020.htm</t>
        </r>
      </text>
    </comment>
    <comment ref="B174" authorId="0" shapeId="0" xr:uid="{EB1FA9CA-BDC0-4D58-97BC-029460A05CA5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Dividends paid on common stock, FY2021. https://www.sec.gov/Archives/edgar/data/101829/000010182924000008/rtx-20231231.htm</t>
        </r>
      </text>
    </comment>
    <comment ref="C174" authorId="0" shapeId="0" xr:uid="{D0C32076-750A-423E-891A-27D3389B67A4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Dividends paid on common stock, FY2022. https://www.sec.gov/Archives/edgar/data/101829/000010182924000008/rtx-20231231.htm</t>
        </r>
      </text>
    </comment>
    <comment ref="D174" authorId="0" shapeId="0" xr:uid="{BFB61BBD-FBFB-4FB9-A58F-7AC73A1E45FD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Dividends paid on common stock, FY2023. https://www.sec.gov/Archives/edgar/data/101829/000010182926000006/rtx-20251231.htm</t>
        </r>
      </text>
    </comment>
    <comment ref="E174" authorId="0" shapeId="0" xr:uid="{12C44079-E9EB-4ACB-99AC-26EA33BAD08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Dividends paid on common stock, FY2024. https://www.sec.gov/Archives/edgar/data/101829/000010182926000006/rtx-20251231.htm</t>
        </r>
      </text>
    </comment>
    <comment ref="F174" authorId="0" shapeId="0" xr:uid="{0F6C071E-4B11-42BD-9402-860784E39519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Dividends paid on common stock, FY2025. https://www.sec.gov/Archives/edgar/data/101829/000010182926000006/rtx-20251231.htm</t>
        </r>
      </text>
    </comment>
    <comment ref="G174" authorId="0" shapeId="0" xr:uid="{69E17465-0E1D-424E-A5B5-50D376387822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Dividends paid on common stock, 9M 2025. https://www.sec.gov/Archives/edgar/data/0000101829/000010182926000030/rtx-20261020.htm</t>
        </r>
      </text>
    </comment>
    <comment ref="H174" authorId="0" shapeId="0" xr:uid="{E906C9D2-88D1-4824-8631-46E742F92AD7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Dividends paid on common stock, 9M 2026. https://www.sec.gov/Archives/edgar/data/0000101829/000010182926000030/rtx-20261020.htm</t>
        </r>
      </text>
    </comment>
    <comment ref="I174" authorId="0" shapeId="0" xr:uid="{2752DB75-2634-4C76-9C0B-E3283372ACD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Dividends paid on common stock, Q3 2026. https://www.sec.gov/Archives/edgar/data/0000101829/000010182926000030/rtx-20261020.htm</t>
        </r>
      </text>
    </comment>
    <comment ref="B175" authorId="0" shapeId="0" xr:uid="{0342F7D1-BE59-476D-8FF2-BBBAAF44E4A9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Repurchase of common stock, FY2021. https://www.sec.gov/Archives/edgar/data/101829/000010182924000008/rtx-20231231.htm</t>
        </r>
      </text>
    </comment>
    <comment ref="C175" authorId="0" shapeId="0" xr:uid="{FD0BD30C-41E3-498E-ADD6-E6DB430D7D5B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Repurchase of common stock, FY2022. https://www.sec.gov/Archives/edgar/data/101829/000010182924000008/rtx-20231231.htm</t>
        </r>
      </text>
    </comment>
    <comment ref="D175" authorId="0" shapeId="0" xr:uid="{76C05CAD-1021-400A-B7C6-ABFD9F2D2C03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Repurchase of common stock, FY2023. https://www.sec.gov/Archives/edgar/data/101829/000010182926000006/rtx-20251231.htm</t>
        </r>
      </text>
    </comment>
    <comment ref="E175" authorId="0" shapeId="0" xr:uid="{26BC83E1-0D56-431D-A327-5B4E76202F92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Repurchase of common stock, FY2024. https://www.sec.gov/Archives/edgar/data/101829/000010182926000006/rtx-20251231.htm</t>
        </r>
      </text>
    </comment>
    <comment ref="F175" authorId="0" shapeId="0" xr:uid="{5020A499-B84E-4AFA-B757-22DD630A7AB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Repurchase of common stock, FY2025. https://www.sec.gov/Archives/edgar/data/101829/000010182926000006/rtx-20251231.htm</t>
        </r>
      </text>
    </comment>
    <comment ref="G175" authorId="0" shapeId="0" xr:uid="{769E44F0-A788-4CED-A227-73824C7BFEB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Repurchase of common stock, 9M 2025. https://www.sec.gov/Archives/edgar/data/0000101829/000010182926000030/rtx-20261020.htm</t>
        </r>
      </text>
    </comment>
    <comment ref="H175" authorId="0" shapeId="0" xr:uid="{875FF314-2CEC-4C82-BF6A-AA1B69265B7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Repurchase of common stock, 9M 2026. https://www.sec.gov/Archives/edgar/data/0000101829/000010182926000030/rtx-20261020.htm</t>
        </r>
      </text>
    </comment>
    <comment ref="I175" authorId="0" shapeId="0" xr:uid="{577257B6-D683-4CAA-B8D7-1CACAA14F0E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Repurchase of common stock, Q3 2026. https://www.sec.gov/Archives/edgar/data/0000101829/000010182926000030/rtx-20261020.htm</t>
        </r>
      </text>
    </comment>
    <comment ref="B176" authorId="0" shapeId="0" xr:uid="{ABB17CCD-5B0B-4BE7-8270-6FE8E72D15A3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Other financing activities, net, FY2021. https://www.sec.gov/Archives/edgar/data/101829/000010182924000008/rtx-20231231.htm</t>
        </r>
      </text>
    </comment>
    <comment ref="C176" authorId="0" shapeId="0" xr:uid="{3A8578B5-907F-40E0-AC61-27DDA083F7F3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Other financing activities, net, FY2022. https://www.sec.gov/Archives/edgar/data/101829/000010182924000008/rtx-20231231.htm</t>
        </r>
      </text>
    </comment>
    <comment ref="D176" authorId="0" shapeId="0" xr:uid="{88AD7C2E-15F1-4183-9EEC-5D5C83EBE963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Other financing activities, net, FY2023. https://www.sec.gov/Archives/edgar/data/101829/000010182926000006/rtx-20251231.htm</t>
        </r>
      </text>
    </comment>
    <comment ref="E176" authorId="0" shapeId="0" xr:uid="{3664A3C6-FB6B-45FC-9DAF-7CD1D774D8CF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Other financing activities, net, FY2024. https://www.sec.gov/Archives/edgar/data/101829/000010182926000006/rtx-20251231.htm</t>
        </r>
      </text>
    </comment>
    <comment ref="F176" authorId="0" shapeId="0" xr:uid="{90726F32-8EC4-4E98-8C1F-A7EF949386A6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Other financing activities, net, FY2025. https://www.sec.gov/Archives/edgar/data/101829/000010182926000006/rtx-20251231.htm</t>
        </r>
      </text>
    </comment>
    <comment ref="G176" authorId="0" shapeId="0" xr:uid="{51B7DB21-9AB7-4276-B83F-5BFA65C146A2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Other financing activities, net, 9M 2025. https://www.sec.gov/Archives/edgar/data/0000101829/000010182926000030/rtx-20261020.htm</t>
        </r>
      </text>
    </comment>
    <comment ref="H176" authorId="0" shapeId="0" xr:uid="{FEA4A697-DA71-48A7-B777-B439E8062B06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Other financing activities, net, 9M 2026. https://www.sec.gov/Archives/edgar/data/0000101829/000010182926000030/rtx-20261020.htm</t>
        </r>
      </text>
    </comment>
    <comment ref="I176" authorId="0" shapeId="0" xr:uid="{F1E52B4D-929A-42AD-B300-74AB70862248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Other financing activities, net, Q3 2026. https://www.sec.gov/Archives/edgar/data/0000101829/000010182926000030/rtx-20261020.htm</t>
        </r>
      </text>
    </comment>
    <comment ref="B178" authorId="0" shapeId="0" xr:uid="{05899B79-DEF9-4A5B-932D-07DFAA5CE77C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Effect of foreign exchange rate changes, FY2021. https://www.sec.gov/Archives/edgar/data/101829/000010182924000008/rtx-20231231.htm</t>
        </r>
      </text>
    </comment>
    <comment ref="C178" authorId="0" shapeId="0" xr:uid="{36D7FCF4-2161-4552-825E-053E62F5348D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Effect of foreign exchange rate changes, FY2022. https://www.sec.gov/Archives/edgar/data/101829/000010182924000008/rtx-20231231.htm</t>
        </r>
      </text>
    </comment>
    <comment ref="D178" authorId="0" shapeId="0" xr:uid="{E0756ACB-9D1F-423A-A5E1-100A25081D3F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Effect of foreign exchange rate changes, FY2023. https://www.sec.gov/Archives/edgar/data/101829/000010182926000006/rtx-20251231.htm</t>
        </r>
      </text>
    </comment>
    <comment ref="E178" authorId="0" shapeId="0" xr:uid="{4DD148CF-7E28-4A68-B71F-D6D48DA2BF19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Effect of foreign exchange rate changes, FY2024. https://www.sec.gov/Archives/edgar/data/101829/000010182926000006/rtx-20251231.htm</t>
        </r>
      </text>
    </comment>
    <comment ref="F178" authorId="0" shapeId="0" xr:uid="{807F67BC-A8BE-4598-BD4D-1CCB74F840B0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Effect of foreign exchange rate changes, FY2025. https://www.sec.gov/Archives/edgar/data/101829/000010182926000006/rtx-20251231.htm</t>
        </r>
      </text>
    </comment>
    <comment ref="G178" authorId="0" shapeId="0" xr:uid="{ACE234E8-4616-41EA-8C81-A5116847423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Effect of foreign exchange rate changes, 9M 2025. https://www.sec.gov/Archives/edgar/data/0000101829/000010182926000030/rtx-20261020.htm</t>
        </r>
      </text>
    </comment>
    <comment ref="H178" authorId="0" shapeId="0" xr:uid="{BA9927ED-D5C8-436B-9936-9F3E5CA278AA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Effect of foreign exchange rate changes, 9M 2026. https://www.sec.gov/Archives/edgar/data/0000101829/000010182926000030/rtx-20261020.htm</t>
        </r>
      </text>
    </comment>
    <comment ref="I178" authorId="0" shapeId="0" xr:uid="{6BC42999-FCDD-452B-9AA0-75D26693654D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Effect of foreign exchange rate changes, Q3 2026. https://www.sec.gov/Archives/edgar/data/0000101829/000010182926000030/rtx-20261020.htm</t>
        </r>
      </text>
    </comment>
    <comment ref="B180" authorId="0" shapeId="0" xr:uid="{E01767E2-CA5D-4E58-9BC5-65CC43CF155C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Cash, equivalents and restricted cash, beginning, FY2021. https://www.sec.gov/Archives/edgar/data/101829/000010182924000008/rtx-20231231.htm</t>
        </r>
      </text>
    </comment>
    <comment ref="C180" authorId="0" shapeId="0" xr:uid="{40A42BCE-7709-43D7-BC0E-974A0DAC11B5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Cash, equivalents and restricted cash, beginning, FY2022. https://www.sec.gov/Archives/edgar/data/101829/000010182924000008/rtx-20231231.htm</t>
        </r>
      </text>
    </comment>
    <comment ref="D180" authorId="0" shapeId="0" xr:uid="{8C51C1E6-7FCD-49B0-960C-606339B91CF5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Cash, equivalents and restricted cash, beginning, FY2023. https://www.sec.gov/Archives/edgar/data/101829/000010182926000006/rtx-20251231.htm</t>
        </r>
      </text>
    </comment>
    <comment ref="E180" authorId="0" shapeId="0" xr:uid="{BDC38D6E-9682-4073-98E0-DAF50335E0C1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Cash, equivalents and restricted cash, beginning, FY2024. https://www.sec.gov/Archives/edgar/data/101829/000010182926000006/rtx-20251231.htm</t>
        </r>
      </text>
    </comment>
    <comment ref="F180" authorId="0" shapeId="0" xr:uid="{BB0261F3-906E-4FC9-BCDA-73BFE505DE68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Cash, equivalents and restricted cash, beginning, FY2025. https://www.sec.gov/Archives/edgar/data/101829/000010182926000006/rtx-20251231.htm</t>
        </r>
      </text>
    </comment>
    <comment ref="G180" authorId="0" shapeId="0" xr:uid="{94C250CD-34AB-457C-B224-1BF6536A4E89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Cash, equivalents and restricted cash, beginning, 9M 2025. https://www.sec.gov/Archives/edgar/data/0000101829/000010182926000030/rtx-20261020.htm</t>
        </r>
      </text>
    </comment>
    <comment ref="H180" authorId="0" shapeId="0" xr:uid="{43D46374-2076-42B8-8008-B155B7FC915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Cash, equivalents and restricted cash, beginning, 9M 2026. https://www.sec.gov/Archives/edgar/data/0000101829/000010182926000030/rtx-20261020.htm</t>
        </r>
      </text>
    </comment>
    <comment ref="I180" authorId="0" shapeId="0" xr:uid="{A27CF03B-DD23-41E5-A9EA-5D3EFECB6C62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Cash, equivalents and restricted cash, beginning, Q3 2026. https://www.sec.gov/Archives/edgar/data/0000101829/000010182926000030/rtx-20261020.htm</t>
        </r>
      </text>
    </comment>
    <comment ref="B182" authorId="0" shapeId="0" xr:uid="{5D0FCA19-D238-497C-9D54-60939EF310FB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Less: restricted cash, FY2021. https://www.sec.gov/Archives/edgar/data/101829/000010182924000008/rtx-20231231.htm</t>
        </r>
      </text>
    </comment>
    <comment ref="C182" authorId="0" shapeId="0" xr:uid="{B3F0DCCD-89B4-4DBB-8AAA-D298841F03D3}">
      <text>
        <r>
          <rPr>
            <sz val="11"/>
            <color theme="1"/>
            <rFont val="Calibri"/>
            <family val="2"/>
            <scheme val="minor"/>
          </rPr>
          <t>Source: SEC EDGAR, RTX 10-K FY2023, Consolidated Statement of Cash Flows, Less: restricted cash, FY2022. https://www.sec.gov/Archives/edgar/data/101829/000010182924000008/rtx-20231231.htm</t>
        </r>
      </text>
    </comment>
    <comment ref="D182" authorId="0" shapeId="0" xr:uid="{9857FAE2-4187-47AA-B977-F1FB2B4F959A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Less: restricted cash, FY2023. https://www.sec.gov/Archives/edgar/data/101829/000010182926000006/rtx-20251231.htm</t>
        </r>
      </text>
    </comment>
    <comment ref="E182" authorId="0" shapeId="0" xr:uid="{4FDE7870-FD73-464F-A880-8F823FA1BE0B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Less: restricted cash, FY2024. https://www.sec.gov/Archives/edgar/data/101829/000010182926000006/rtx-20251231.htm</t>
        </r>
      </text>
    </comment>
    <comment ref="F182" authorId="0" shapeId="0" xr:uid="{E6218F56-7AC9-4560-A742-4DCA37AFD23E}">
      <text>
        <r>
          <rPr>
            <sz val="11"/>
            <color theme="1"/>
            <rFont val="Calibri"/>
            <family val="2"/>
            <scheme val="minor"/>
          </rPr>
          <t>Source: SEC EDGAR, RTX 10-K FY2025, Consolidated Statement of Cash Flows, Less: restricted cash, FY2025. https://www.sec.gov/Archives/edgar/data/101829/000010182926000006/rtx-20251231.htm</t>
        </r>
      </text>
    </comment>
    <comment ref="G182" authorId="0" shapeId="0" xr:uid="{B34A8F25-9808-434A-9748-7CABD22E87AE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Less: restricted cash, 9M 2025. https://www.sec.gov/Archives/edgar/data/0000101829/000010182926000030/rtx-20261020.htm</t>
        </r>
      </text>
    </comment>
    <comment ref="H182" authorId="0" shapeId="0" xr:uid="{E29140A8-CF37-444C-9FD0-5B95818F4B4C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Less: restricted cash, 9M 2026. https://www.sec.gov/Archives/edgar/data/0000101829/000010182926000030/rtx-20261020.htm</t>
        </r>
      </text>
    </comment>
    <comment ref="I182" authorId="0" shapeId="0" xr:uid="{028DF209-E11B-4F88-A195-9B4E5D431958}">
      <text>
        <r>
          <rPr>
            <sz val="11"/>
            <color theme="1"/>
            <rFont val="Calibri"/>
            <family val="2"/>
            <scheme val="minor"/>
          </rPr>
          <t>Source: SEC EDGAR, RTX 8-K filed Oct 20, 2026, Exhibit 99 (Q3 2026 results), Consolidated Statement of Cash Flows, Less: restricted cash, Q3 2026. https://www.sec.gov/Archives/edgar/data/0000101829/000010182926000030/rtx-20261020.htm</t>
        </r>
      </text>
    </comment>
    <comment ref="F213" authorId="0" shapeId="0" xr:uid="{F37106E5-9134-44AE-AE1F-79F321226E09}">
      <text>
        <r>
          <rPr>
            <sz val="11"/>
            <color theme="1"/>
            <rFont val="Calibri"/>
            <family val="2"/>
            <scheme val="minor"/>
          </rPr>
          <t>Source: SEC EDGAR, RTX 10-K FY2025, Employee benefit plans note, funded status table (XBRL R76), Pension benefit obligation, Dec 31, 2025. https://www.sec.gov/Archives/edgar/data/101829/000010182926000006/R76.htm (via Point Alpha research data pack)</t>
        </r>
      </text>
    </comment>
    <comment ref="F214" authorId="0" shapeId="0" xr:uid="{112549B7-68DA-42C8-8462-BC47079F59B9}">
      <text>
        <r>
          <rPr>
            <sz val="11"/>
            <color theme="1"/>
            <rFont val="Calibri"/>
            <family val="2"/>
            <scheme val="minor"/>
          </rPr>
          <t>Source: SEC EDGAR, RTX 10-K FY2025, Employee benefit plans note, funded status table (XBRL R76), Pension plan assets at fair value, Dec 31, 2025. https://www.sec.gov/Archives/edgar/data/101829/000010182926000006/R76.htm (via Point Alpha research data pack)</t>
        </r>
      </text>
    </comment>
    <comment ref="F216" authorId="0" shapeId="0" xr:uid="{E5611BF2-80A9-4453-9ECD-2985B6B7CBB0}">
      <text>
        <r>
          <rPr>
            <sz val="11"/>
            <color theme="1"/>
            <rFont val="Calibri"/>
            <family val="2"/>
            <scheme val="minor"/>
          </rPr>
          <t>Source: SEC EDGAR, RTX 10-K FY2025, Employee benefit plans note, funded status table (XBRL R76), Postretirement benefit obligation, Dec 31, 2025. https://www.sec.gov/Archives/edgar/data/101829/000010182926000006/R76.htm (via Point Alpha research data pack)</t>
        </r>
      </text>
    </comment>
    <comment ref="F217" authorId="0" shapeId="0" xr:uid="{CC71EE91-3BEB-407E-88ED-F8AD9BB6F11A}">
      <text>
        <r>
          <rPr>
            <sz val="11"/>
            <color theme="1"/>
            <rFont val="Calibri"/>
            <family val="2"/>
            <scheme val="minor"/>
          </rPr>
          <t>Source: SEC EDGAR, RTX 10-K FY2025, Employee benefit plans note, funded status table (XBRL R76), Postretirement plan assets at fair value, Dec 31, 2025. https://www.sec.gov/Archives/edgar/data/101829/000010182926000006/R76.htm (via Point Alpha research data pack)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Ishaan Patel</author>
  </authors>
  <commentList>
    <comment ref="A5" authorId="0" shapeId="0" xr:uid="{95E4FEDB-1090-4E1E-BB6F-032C628A5D0F}">
      <text>
        <r>
          <rPr>
            <sz val="11"/>
            <color theme="1"/>
            <rFont val="Calibri"/>
            <family val="2"/>
            <scheme val="minor"/>
          </rPr>
          <t>Source: Point Alpha research data pack. RTX monthly adjusted close: Yahoo Finance, https://finance.yahoo.com/quote/RTX/history/?period1=1630454400&amp;period2=1790812800&amp;frequency=1mo ; S&amp;P 500 (^GSPC) month-end close, September 2026 corrected to 7,651.54 (Sep 30 close). Aug 31 and Sep 30, 2026 RTX closes cross-checked to StockAnalysis daily history.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Ishaan Patel</author>
  </authors>
  <commentList>
    <comment ref="B6" authorId="0" shapeId="0" xr:uid="{ACFDCEFB-7455-4AF7-B877-8E913146FEA6}">
      <text>
        <r>
          <rPr>
            <sz val="11"/>
            <color theme="1"/>
            <rFont val="Calibri"/>
            <family val="2"/>
            <scheme val="minor"/>
          </rPr>
          <t>Source: StockAnalysis, RTX daily price history, October 21, 2026 close, https://stockanalysis.com/stocks/rtx/history/ (Point Alpha research data pack)</t>
        </r>
      </text>
    </comment>
    <comment ref="B17" authorId="0" shapeId="0" xr:uid="{A8D8F143-D2FF-4419-B38F-CB4DEF8298AF}">
      <text>
        <r>
          <rPr>
            <sz val="11"/>
            <color theme="1"/>
            <rFont val="Calibri"/>
            <family val="2"/>
            <scheme val="minor"/>
          </rPr>
          <t>Source: U.S. Treasury, Daily Treasury Par Yield Curve Rates, 10-year, October 21, 2026, https://home.treasury.gov (Point Alpha standard input)</t>
        </r>
      </text>
    </comment>
    <comment ref="B18" authorId="0" shapeId="0" xr:uid="{5A679EEC-59E6-462A-8898-CB5AA30F0DC2}">
      <text>
        <r>
          <rPr>
            <sz val="11"/>
            <color theme="1"/>
            <rFont val="Calibri"/>
            <family val="2"/>
            <scheme val="minor"/>
          </rPr>
          <t>Source: Damodaran implied ERP, start of October 2026, https://aswathdamodaran.substack.com/p/earnings-cashflows-and-stock-prices (Point Alpha standard input)</t>
        </r>
      </text>
    </comment>
    <comment ref="B23" authorId="0" shapeId="0" xr:uid="{2C54B775-3FF9-44D2-95B9-C49BE8BE83FE}">
      <text>
        <r>
          <rPr>
            <sz val="11"/>
            <color theme="1"/>
            <rFont val="Calibri"/>
            <family val="2"/>
            <scheme val="minor"/>
          </rPr>
          <t>Source: Damodaran, Betas by Sector (US), Aerospace/Defense unlevered beta corrected for cash, January 2026, https://pages.stern.nyu.edu/~adamodar/New_Home_Page/datafile/Betas.html (Point Alpha research data pack)</t>
        </r>
      </text>
    </comment>
    <comment ref="B31" authorId="0" shapeId="0" xr:uid="{628EC88A-BAA1-4C3F-9977-C0630C3E305E}">
      <text>
        <r>
          <rPr>
            <sz val="11"/>
            <color theme="1"/>
            <rFont val="Calibri"/>
            <family val="2"/>
            <scheme val="minor"/>
          </rPr>
          <t>Source: SEC EDGAR, RTX 8-K Apr 21, 2026 Ex. 99, Interest expense, net, Q1 2026, https://www.sec.gov/Archives/edgar/data/0000101829/000010182926000009/a2026-04x218xkerexhibit99.htm (Point Alpha research data pack)</t>
        </r>
      </text>
    </comment>
    <comment ref="B32" authorId="0" shapeId="0" xr:uid="{14A05DF6-1B66-4E0A-BF65-E11B4A44613B}">
      <text>
        <r>
          <rPr>
            <sz val="11"/>
            <color theme="1"/>
            <rFont val="Calibri"/>
            <family val="2"/>
            <scheme val="minor"/>
          </rPr>
          <t>Source: SEC EDGAR, RTX 8-K Jul 23, 2026 Ex. 99, Interest expense, net, Q2 2026, https://www.sec.gov/Archives/edgar/data/0000101829/000010182926000025/a2026-07x238xkerexhibit99.htm (Point Alpha research data pack)</t>
        </r>
      </text>
    </comment>
    <comment ref="B35" authorId="0" shapeId="0" xr:uid="{E71E5BC0-32C0-46AB-BFF7-8E8DA0FA8872}">
      <text>
        <r>
          <rPr>
            <sz val="11"/>
            <color theme="1"/>
            <rFont val="Calibri"/>
            <family val="2"/>
            <scheme val="minor"/>
          </rPr>
          <t>Source: SEC EDGAR, RTX 8-K Oct 21, 2025 Ex. 99, Balance Sheet, ST borrowings 215 + LTD currently due 584 + LTD 38,260, Sep 30, 2025, https://www.sec.gov/Archives/edgar/data/101829/000010182925000040/a2025-10x218xkerexhibit99.htm (Point Alpha research data pack)</t>
        </r>
      </text>
    </comment>
    <comment ref="B37" authorId="0" shapeId="0" xr:uid="{66098A3D-FDA7-4DB8-A32B-702F6F9FDB62}">
      <text>
        <r>
          <rPr>
            <sz val="11"/>
            <color theme="1"/>
            <rFont val="Calibri"/>
            <family val="2"/>
            <scheme val="minor"/>
          </rPr>
          <t>Source: SEC EDGAR, RTX 8-K Apr 21, 2026 Ex. 99, Balance Sheet, 226 + 4,213 + 32,974, Mar 31, 2026 (Point Alpha research data pack)</t>
        </r>
      </text>
    </comment>
    <comment ref="B38" authorId="0" shapeId="0" xr:uid="{46DF1B42-9CD3-48AB-BE12-598B98ADE05E}">
      <text>
        <r>
          <rPr>
            <sz val="11"/>
            <color theme="1"/>
            <rFont val="Calibri"/>
            <family val="2"/>
            <scheme val="minor"/>
          </rPr>
          <t>Source: SEC EDGAR, RTX 8-K Jul 23, 2026 Ex. 99, Balance Sheet, 229 + 5,296 + 31,858, Jun 30, 2026 (Point Alpha research data pack)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Ishaan Patel</author>
  </authors>
  <commentList>
    <comment ref="A5" authorId="0" shapeId="0" xr:uid="{5AE02A96-25F2-4F14-8F6A-7DBEC9CBBD02}">
      <text>
        <r>
          <rPr>
            <sz val="11"/>
            <color theme="1"/>
            <rFont val="Calibri"/>
            <family val="2"/>
            <scheme val="minor"/>
          </rPr>
          <t>Source: Point Alpha research data pack, peer data block (prices Oct 21, 2026 closes; balance sheets from latest results released on or before Oct 21, 2026). Underlying provider for each row in column S.</t>
        </r>
      </text>
    </comment>
    <comment ref="M5" authorId="0" shapeId="0" xr:uid="{F8A8C9E9-EC41-4945-B0B1-E4EA636B513B}">
      <text>
        <r>
          <rPr>
            <sz val="11"/>
            <color theme="1"/>
            <rFont val="Calibri"/>
            <family val="2"/>
            <scheme val="minor"/>
          </rPr>
          <t>Consensus: S&amp;P Global / MarketScreener consensus, week of October 19, 2026. Revenue and adjusted EPS: S&amp;P Global estimates via StockAnalysis forecast pages; EBITDA: MarketScreener. Point-in-time October 21 snapshots do not exist. NTM = FY1 x weight + FY2 x (1 - weight); inputs and post-cutoff reporting notes in rows 26 to 38.</t>
        </r>
      </text>
    </comment>
    <comment ref="C23" authorId="0" shapeId="0" xr:uid="{801E2DC0-AFCF-415B-9888-301A790082BB}">
      <text>
        <r>
          <rPr>
            <sz val="11"/>
            <color theme="1"/>
            <rFont val="Calibri"/>
            <family val="2"/>
            <scheme val="minor"/>
          </rPr>
          <t>Source: ECB euro reference rate, Oct 21, 2026, ecb.europa.eu, via Point Alpha research data pack.</t>
        </r>
      </text>
    </comment>
    <comment ref="A27" authorId="0" shapeId="0" xr:uid="{B1824462-7415-4B7E-9B40-0D53D0688563}">
      <text>
        <r>
          <rPr>
            <sz val="11"/>
            <color theme="1"/>
            <rFont val="Calibri"/>
            <family val="2"/>
            <scheme val="minor"/>
          </rPr>
          <t>Source: S&amp;P Global / MarketScreener consensus, week of October 19, 2026 (StockAnalysis forecast pages for revenue and adjusted EPS; MarketScreener finances pages for EBITDA), via Point Alpha research data pack. URLs per company in column S of the peer table above and in the data pack.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Ishaan Patel</author>
  </authors>
  <commentList>
    <comment ref="D33" authorId="0" shapeId="0" xr:uid="{D7F061EA-769D-460A-AAA5-75B82CDA43C0}">
      <text>
        <r>
          <rPr>
            <sz val="11"/>
            <color theme="1"/>
            <rFont val="Calibri"/>
            <family val="2"/>
            <scheme val="minor"/>
          </rPr>
          <t>Source: 10-K FY2025, filed Feb 6, 2026, SEC EDGAR. Values in D33:D42 typed from the filing named in column C.</t>
        </r>
      </text>
    </comment>
    <comment ref="D38" authorId="0" shapeId="0" xr:uid="{D371E89B-1E51-457C-9290-A23EF4CAD330}">
      <text>
        <r>
          <rPr>
            <sz val="11"/>
            <color theme="1"/>
            <rFont val="Calibri"/>
            <family val="2"/>
            <scheme val="minor"/>
          </rPr>
          <t>Source: 10-K FY2023, filed Feb 2024, SEC EDGAR. Values in D33:D42 typed from the filing named in column C.</t>
        </r>
      </text>
    </comment>
    <comment ref="D40" authorId="0" shapeId="0" xr:uid="{4434CA9C-510D-4DAB-84D5-4DF78D524C0C}">
      <text>
        <r>
          <rPr>
            <sz val="11"/>
            <color theme="1"/>
            <rFont val="Calibri"/>
            <family val="2"/>
            <scheme val="minor"/>
          </rPr>
          <t>Source: RTX Q3 2026 earnings release, 8-K Ex. 99, Oct 20, 2026, SEC EDGAR. Values in D33:D42 typed from the filing named in column C.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Ishaan Patel</author>
  </authors>
  <commentList>
    <comment ref="C48" authorId="0" shapeId="0" xr:uid="{59C0DF60-D084-4FF4-B2B4-A84E665880B7}">
      <text>
        <r>
          <rPr>
            <sz val="11"/>
            <color theme="1"/>
            <rFont val="Calibri"/>
            <family val="2"/>
            <scheme val="minor"/>
          </rPr>
          <t>Source: SEC EDGAR, 10-K FY2023, Consolidated Statement of Operations, Total net sales, 2021, https://www.sec.gov/Archives/edgar/data/101829/000010182924000008/rtx-20231231.htm</t>
        </r>
      </text>
    </comment>
    <comment ref="C49" authorId="0" shapeId="0" xr:uid="{2C99A5D9-7541-4927-8660-74C3FAF32A27}">
      <text>
        <r>
          <rPr>
            <sz val="11"/>
            <color theme="1"/>
            <rFont val="Calibri"/>
            <family val="2"/>
            <scheme val="minor"/>
          </rPr>
          <t>Source: SEC EDGAR, 10-K FY2023, Consolidated Statement of Operations, Operating profit, 2022, https://www.sec.gov/Archives/edgar/data/101829/000010182924000008/rtx-20231231.htm</t>
        </r>
      </text>
    </comment>
    <comment ref="C50" authorId="0" shapeId="0" xr:uid="{D44B5AB3-1272-44D5-ABD3-530575D4475D}">
      <text>
        <r>
          <rPr>
            <sz val="11"/>
            <color theme="1"/>
            <rFont val="Calibri"/>
            <family val="2"/>
            <scheme val="minor"/>
          </rPr>
          <t>Source: SEC EDGAR, 10-K FY2025, Note 20 Segment Financial Data, Powder Metal Matter (Pratt &amp; Whitney), 2023, https://www.sec.gov/Archives/edgar/data/101829/000010182926000006/rtx-20251231.htm</t>
        </r>
      </text>
    </comment>
    <comment ref="C51" authorId="0" shapeId="0" xr:uid="{A0A42301-21EE-44B7-8DE7-CEFB648A1830}">
      <text>
        <r>
          <rPr>
            <sz val="11"/>
            <color theme="1"/>
            <rFont val="Calibri"/>
            <family val="2"/>
            <scheme val="minor"/>
          </rPr>
          <t>Source: SEC EDGAR, 10-K FY2025, Consolidated Statement of Operations, 2024, https://www.sec.gov/Archives/edgar/data/101829/000010182926000006/rtx-20251231.htm</t>
        </r>
      </text>
    </comment>
    <comment ref="C52" authorId="0" shapeId="0" xr:uid="{BCDC1D49-D011-452A-846F-5AD688ACD846}">
      <text>
        <r>
          <rPr>
            <sz val="11"/>
            <color theme="1"/>
            <rFont val="Calibri"/>
            <family val="2"/>
            <scheme val="minor"/>
          </rPr>
          <t>Source: SEC EDGAR, 10-K FY2025, Consolidated Statement of Operations, Diluted earnings per share, 2025, https://www.sec.gov/Archives/edgar/data/101829/000010182926000006/rtx-20251231.htm</t>
        </r>
      </text>
    </comment>
    <comment ref="C53" authorId="0" shapeId="0" xr:uid="{184EECD0-125C-4DDC-878A-51CDCA2A2941}">
      <text>
        <r>
          <rPr>
            <sz val="11"/>
            <color theme="1"/>
            <rFont val="Calibri"/>
            <family val="2"/>
            <scheme val="minor"/>
          </rPr>
          <t>Source: SEC EDGAR, 10-K FY2023, Consolidated Balance Sheet, Total assets, https://www.sec.gov/Archives/edgar/data/101829/000010182924000008/rtx-20231231.htm</t>
        </r>
      </text>
    </comment>
    <comment ref="C54" authorId="0" shapeId="0" xr:uid="{CF94489D-6320-43FA-9505-D06796A5924F}">
      <text>
        <r>
          <rPr>
            <sz val="11"/>
            <color theme="1"/>
            <rFont val="Calibri"/>
            <family val="2"/>
            <scheme val="minor"/>
          </rPr>
          <t>Source: SEC EDGAR, 10-K FY2025, Consolidated Balance Sheet, Cash and cash equivalents, https://www.sec.gov/Archives/edgar/data/101829/000010182926000006/rtx-20251231.htm</t>
        </r>
      </text>
    </comment>
    <comment ref="C55" authorId="0" shapeId="0" xr:uid="{0FAA9012-8019-4894-9B34-86AA94FB7A4F}">
      <text>
        <r>
          <rPr>
            <sz val="11"/>
            <color theme="1"/>
            <rFont val="Calibri"/>
            <family val="2"/>
            <scheme val="minor"/>
          </rPr>
          <t>Source: SEC EDGAR, 10-K FY2025, Consolidated Statement of Cash Flows, 2025, https://www.sec.gov/Archives/edgar/data/101829/000010182926000006/rtx-20251231.htm</t>
        </r>
      </text>
    </comment>
    <comment ref="C56" authorId="0" shapeId="0" xr:uid="{000EF869-E8D3-45A7-B4E7-7D019B64477A}">
      <text>
        <r>
          <rPr>
            <sz val="11"/>
            <color theme="1"/>
            <rFont val="Calibri"/>
            <family val="2"/>
            <scheme val="minor"/>
          </rPr>
          <t>Source: SEC EDGAR, 10-K FY2025, Consolidated Statement of Cash Flows, Capital expenditures, 2024, https://www.sec.gov/Archives/edgar/data/101829/000010182926000006/rtx-20251231.htm</t>
        </r>
      </text>
    </comment>
    <comment ref="C57" authorId="0" shapeId="0" xr:uid="{078DC037-DBDD-4C3C-A506-2D81FD5B8117}">
      <text>
        <r>
          <rPr>
            <sz val="11"/>
            <color theme="1"/>
            <rFont val="Calibri"/>
            <family val="2"/>
            <scheme val="minor"/>
          </rPr>
          <t>Source: SEC EDGAR, 8-K October 20, 2026, Exhibit 99, Condensed Consolidated Statement of Operations, quarter ended Sep 30, 2026, https://www.sec.gov/Archives/edgar/data/0000101829/000010182926000030/a2026-10x208xkerexhibit99.htm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<sst xmlns="http://schemas.openxmlformats.org/spreadsheetml/2006/main" count="2272" uniqueCount="1295">
  <si>
    <t>RTX Corporation (NYSE: RTX): Initiation Model</t>
  </si>
  <si>
    <t>Point Alpha Capital | Defense and Aerospace | Model date October 22, 2026 | Authors: Alfred Kattan; Ishaan Patel; Kai Xu</t>
  </si>
  <si>
    <t>$ millions shown in $ billions unless stated; per-share in $. Prices are October 21, 2026 closes; RTX Q3 2026 results (Oct 20, 2026) included; no data after October 21, 2026.</t>
  </si>
  <si>
    <t>Summary</t>
  </si>
  <si>
    <t>Chart data (not printed)</t>
  </si>
  <si>
    <t>Position</t>
  </si>
  <si>
    <t>Long</t>
  </si>
  <si>
    <t>Target price ($)</t>
  </si>
  <si>
    <t>Football field ($ per share)</t>
  </si>
  <si>
    <t>Low</t>
  </si>
  <si>
    <t>Spread</t>
  </si>
  <si>
    <t>High</t>
  </si>
  <si>
    <t>Rating</t>
  </si>
  <si>
    <t>Mark price, October 21, 2026 close ($)</t>
  </si>
  <si>
    <t>Upside / (downside) to target</t>
  </si>
  <si>
    <t>Entry date</t>
  </si>
  <si>
    <t>August 31, 2026</t>
  </si>
  <si>
    <t>Entry price ($)</t>
  </si>
  <si>
    <t>Return since entry</t>
  </si>
  <si>
    <t>Market capitalization ($bn)</t>
  </si>
  <si>
    <t>Exchange / ticker</t>
  </si>
  <si>
    <t>NYSE: RTX</t>
  </si>
  <si>
    <t>Enterprise value ($bn)</t>
  </si>
  <si>
    <t>Thesis: commercial aftermarket strength (GTF shop-visit ramp) and Raytheon margin expansion on a record $340 billion backlog drive double-digit earnings growth.</t>
  </si>
  <si>
    <t>Valuation summary</t>
  </si>
  <si>
    <t>Year</t>
  </si>
  <si>
    <t>Net sales ($bn)</t>
  </si>
  <si>
    <t>Operating margin</t>
  </si>
  <si>
    <t>Segment</t>
  </si>
  <si>
    <t>Method</t>
  </si>
  <si>
    <t>Value per share ($)</t>
  </si>
  <si>
    <t>Weight</t>
  </si>
  <si>
    <t>Contribution ($)</t>
  </si>
  <si>
    <t>Upside / (downside)</t>
  </si>
  <si>
    <t>FY2021A</t>
  </si>
  <si>
    <t>Actual</t>
  </si>
  <si>
    <t>FY2022A</t>
  </si>
  <si>
    <t>Sum-of-parts (median peer EV / NTM EBITDA)</t>
  </si>
  <si>
    <t>FY2023A</t>
  </si>
  <si>
    <t>Blended value</t>
  </si>
  <si>
    <t>FY2024A</t>
  </si>
  <si>
    <t>Target price (blended, rounded to nearest $5)</t>
  </si>
  <si>
    <t>FY2025A</t>
  </si>
  <si>
    <t>2026E</t>
  </si>
  <si>
    <t>Estimate</t>
  </si>
  <si>
    <t>2027E</t>
  </si>
  <si>
    <t>Valuation range ($ per share)</t>
  </si>
  <si>
    <t>2028E</t>
  </si>
  <si>
    <t>2029E</t>
  </si>
  <si>
    <t>2030E</t>
  </si>
  <si>
    <t>2031E</t>
  </si>
  <si>
    <t>2032E</t>
  </si>
  <si>
    <t>2033E</t>
  </si>
  <si>
    <t>2034E</t>
  </si>
  <si>
    <t>2035E</t>
  </si>
  <si>
    <t>Net sales and operating margin, FY2021A to FY2035E</t>
  </si>
  <si>
    <t>Key notes</t>
  </si>
  <si>
    <t>3. Effective tax rate drives the P&amp;L and NOPAT; 21% statutory is used only to relever beta and for the after-tax cost of debt.</t>
  </si>
  <si>
    <t>4. Pratt &amp; Whitney Powder Metal Matter shown separately on Historical: FY2023 sales reduction $5.4 billion and $2.9 billion operating profit charge.</t>
  </si>
  <si>
    <t>7. Model integrity and open data items: see the Checks tab (overall result in Checks!B54:B55).</t>
  </si>
  <si>
    <t>8. Valuation at the October 21 close does not support the price; the position is held on the operating thesis pending the IC-18 review.</t>
  </si>
  <si>
    <t>Contents</t>
  </si>
  <si>
    <t>Assumptions</t>
  </si>
  <si>
    <t>Forecast drivers with basis</t>
  </si>
  <si>
    <t>Historical</t>
  </si>
  <si>
    <t>FY2021A to FY2025A, 9M 2025/2026, Q3 2026, LTM; sourced line by line</t>
  </si>
  <si>
    <t>Projections</t>
  </si>
  <si>
    <t>Ten-year income statement, balance sheet, cash flow</t>
  </si>
  <si>
    <t>Beta Data</t>
  </si>
  <si>
    <t>Five-year monthly regression vs S&amp;P 500</t>
  </si>
  <si>
    <t>WACC</t>
  </si>
  <si>
    <t>Cost of capital build</t>
  </si>
  <si>
    <t>DCF</t>
  </si>
  <si>
    <t>Unlevered free cash flow and Gordon growth terminal value</t>
  </si>
  <si>
    <t>Sensitivity</t>
  </si>
  <si>
    <t>WACC x g; Pratt aftermarket growth x Raytheon margin</t>
  </si>
  <si>
    <t>Sum-of-Parts</t>
  </si>
  <si>
    <t>Segment EBITDA at peer multiples</t>
  </si>
  <si>
    <t>Peer Data</t>
  </si>
  <si>
    <t>Peer inputs and sources</t>
  </si>
  <si>
    <t>Checks</t>
  </si>
  <si>
    <t>Integrity checks and open data items</t>
  </si>
  <si>
    <t>QIS Audit</t>
  </si>
  <si>
    <t>Quantitative Investment Strategies review and verdict</t>
  </si>
  <si>
    <t>RTX Corporation (NYSE: RTX) | Assumptions</t>
  </si>
  <si>
    <t>$ billions unless stated (stored in $ millions); percentages and days as labeled. Blue = input, black = formula, green = link to another tab.</t>
  </si>
  <si>
    <t>Driver</t>
  </si>
  <si>
    <t>Basis</t>
  </si>
  <si>
    <t>Forecast year index</t>
  </si>
  <si>
    <t>Year 1 = FY2026E</t>
  </si>
  <si>
    <t>Valuation and timing</t>
  </si>
  <si>
    <t>Terminal growth rate</t>
  </si>
  <si>
    <t>Approved build note: terminal growth 3.0%</t>
  </si>
  <si>
    <t>Return on new invested capital, terminal year</t>
  </si>
  <si>
    <t>LTM Sep-26 ROIC excluding goodwill (Historical): LTM operating profit x (1 - LTM effective tax rate) / (total equity + redeemable NCI + debt - cash - goodwill). Goodwill reflects acquisition premiums, not capital needed for organic growth; acquired intangibles are kept. Drives terminal net reinvestment = NOPAT x g / ROIC</t>
  </si>
  <si>
    <t>Days in year</t>
  </si>
  <si>
    <t>Constant</t>
  </si>
  <si>
    <t>Valuation date (model date)</t>
  </si>
  <si>
    <t>WACC tab</t>
  </si>
  <si>
    <t>Balance sheet date for net debt</t>
  </si>
  <si>
    <t>Latest reported balance sheet, Q3 2026 (8-K Oct 20, 2026)</t>
  </si>
  <si>
    <t>FY2026 year end</t>
  </si>
  <si>
    <t>Fiscal year ends December 31</t>
  </si>
  <si>
    <t>Share of FY2026E cash flow after the balance sheet date</t>
  </si>
  <si>
    <t>Q4 2026 only: cash flows to Sep 30, 2026 are already reflected in reported net debt</t>
  </si>
  <si>
    <t>Discount period to end of FY2026 (years)</t>
  </si>
  <si>
    <t>End-of-period discounting from the valuation date; later years add 1.0</t>
  </si>
  <si>
    <t>Revenue drivers (years 1-5 input; years 6-10 fade in equal steps to terminal growth)</t>
  </si>
  <si>
    <t>Collins Aerospace</t>
  </si>
  <si>
    <t>Commercial share of segment sales, FY2025 (incl. inter-segment)</t>
  </si>
  <si>
    <t>Historical: commercial aerospace and other commercial plus inter-segment sales / Collins segment sales (10-K FY2025)</t>
  </si>
  <si>
    <t>Organic sales growth, Q3 2026 (reported)</t>
  </si>
  <si>
    <t>8-K Oct 20, 2026 Ex. 99: Collins sales up 12 percent organically</t>
  </si>
  <si>
    <t>Aftermarket share of commercial sales (estimate)</t>
  </si>
  <si>
    <t>Point Alpha estimate (aftermarket dollars n/d): solves total growth = defense share x defense growth + commercial share x (AM share x AM growth + OE share x OE growth) using Q3 2026 disclosed growth rates; approximate because disclosed rates are rounded</t>
  </si>
  <si>
    <t>Commercial OE growth</t>
  </si>
  <si>
    <t>2026E: Q3 2026 OE +23% organic, Q2 +26%, less divestiture drag (actuation, Simmonds sold 2025); RTX Oct 20 outlook: commercial OE high single digits RTX-wide. 2027-30: fading with narrowbody/widebody rate ramps</t>
  </si>
  <si>
    <t>Commercial aftermarket growth</t>
  </si>
  <si>
    <t>2026E: Q3 2026 +9%, Q2 +10% organic, less divestiture drag. 2027-30: installed base growth mid single digits plus pricing</t>
  </si>
  <si>
    <t>Defense growth</t>
  </si>
  <si>
    <t>2026E: Q3 2026 +7%, Q2 +7% organic, less divestiture drag; then in line with defense budgets</t>
  </si>
  <si>
    <t>Pratt &amp; Whitney</t>
  </si>
  <si>
    <t>Historical: commercial aerospace and other commercial sales / Pratt &amp; Whitney segment sales (10-K FY2025)</t>
  </si>
  <si>
    <t>8-K Oct 20, 2026 Ex. 99: Pratt &amp; Whitney sales up 10 percent (adjusted and organic)</t>
  </si>
  <si>
    <t>Point Alpha estimate, same method as Collins (aftermarket dollars n/d)</t>
  </si>
  <si>
    <t>2026E: Q3 2026 -5%, Q2 -8% (large commercial engine mix). 2027-30: GTF and GTF Advantage deliveries recover with A320neo rates</t>
  </si>
  <si>
    <t>2026E: Q3 2026 +21%, Q2 +25% (GTF MRO volume); RTX Oct 20 outlook: commercial aftermarket low double digits to low teens RTX-wide. Then normalizing as GTF powder metal inspections end (through 2026)</t>
  </si>
  <si>
    <t>Military growth</t>
  </si>
  <si>
    <t>2026E: Q3 2026 +2%, Q2 +23% (F135 volume, award timing); then defense budget growth</t>
  </si>
  <si>
    <t>Raytheon and eliminations</t>
  </si>
  <si>
    <t>Raytheon sales growth</t>
  </si>
  <si>
    <t>2026E: 9M 2026 +14.0% (Historical), Q3 +14%; defense backlog $164B at Q3 2026 (8-K). Then moderating toward budget growth</t>
  </si>
  <si>
    <t>Eliminations and other, % of total segment sales</t>
  </si>
  <si>
    <t>Average of FY2025 and 9M 2026 (Historical)</t>
  </si>
  <si>
    <t>Company 2026 adjusted sales outlook: low</t>
  </si>
  <si>
    <t>8-K Oct 20, 2026 Ex. 99: adjusted sales $97.0-97.5 billion (raised from $95.0-96.0 billion)</t>
  </si>
  <si>
    <t>Company 2026 adjusted sales outlook: high</t>
  </si>
  <si>
    <t>Same</t>
  </si>
  <si>
    <t>Operating profit drivers</t>
  </si>
  <si>
    <t>Collins segment operating margin</t>
  </si>
  <si>
    <t>FY2025 16.3%, 9M 2026 18.2% (Historical, incl. ~$250M Q3 IEEPA recovery); aftermarket mix supports gradual expansion; held after year 5</t>
  </si>
  <si>
    <t>Pratt &amp; Whitney segment operating margin</t>
  </si>
  <si>
    <t>FY2025 7.9%, 9M 2026 7.8% incl. $363M customer bankruptcy charge (adjusted 9.2%); powder metal inspections end 2026; GTF aftermarket profitability improves; held after year 5</t>
  </si>
  <si>
    <t>Raytheon segment operating margin</t>
  </si>
  <si>
    <t>FY2025 11.5%, 9M 2026 13.0%, Q3 14.1% (Historical); held at 9M 2026 level. Second sensitivity driver</t>
  </si>
  <si>
    <t>Eliminations and other operating profit, % of net sales</t>
  </si>
  <si>
    <t>FY2023-25 average near zero; 9M 2026 0.3% (Historical)</t>
  </si>
  <si>
    <t>Corporate expenses and unallocated, % of net sales</t>
  </si>
  <si>
    <t>FY2025 (0.3%), 9M 2026 (0.2%) (Historical)</t>
  </si>
  <si>
    <t>FAS/CAS operating adjustment, % of Raytheon sales</t>
  </si>
  <si>
    <t>9M 2026 2.2%; declining trend FY2023 4.3%, FY2024 3.1%, FY2025 2.7% (Historical)</t>
  </si>
  <si>
    <t>Expected amortization of intangible assets (10-K schedule)</t>
  </si>
  <si>
    <t>10-K FY2025, Note 3 Goodwill and Intangible Assets: expected amortization 2026-2030</t>
  </si>
  <si>
    <t>Acquisition accounting amortization (charge to operating profit)</t>
  </si>
  <si>
    <t>2026E: 9M 2026 acquisition accounting adjustments annualized; 2027-30 scaled by the 10-K schedule; 2031-35 faded to zero so terminal NOPAT reflects economic earnings (acquired intangibles are finite-lived and non-cash)</t>
  </si>
  <si>
    <t>Research and development, % of net sales</t>
  </si>
  <si>
    <t>FY2025 3.2%, 9M 2026 2.9% (Historical)</t>
  </si>
  <si>
    <t>Selling, general and administrative, % of net sales</t>
  </si>
  <si>
    <t>FY2025 6.9%, 9M 2026 7.0% (Historical)</t>
  </si>
  <si>
    <t>Other income, % of net sales</t>
  </si>
  <si>
    <t>FY2025 0.5%, 9M 2026 0.4% (Historical)</t>
  </si>
  <si>
    <t>Gross margin (derived output, not a driver)</t>
  </si>
  <si>
    <t>Derived on Projections: cost of sales = net sales less operating profit, R&amp;D, SG&amp;A and other income; operating profit is built from segment margins</t>
  </si>
  <si>
    <t>Non-service pension income</t>
  </si>
  <si>
    <t>9M 2026 annualized (Historical), held flat; non-operating and non-cash, excluded from the DCF</t>
  </si>
  <si>
    <t>Effective tax rate</t>
  </si>
  <si>
    <t>2026E: 9M 2026 effective rate 16.9%; 2027E onward: FY2024-25 average 19.1% (Historical). Used for the P&amp;L and NOPAT (approved build note)</t>
  </si>
  <si>
    <t>Interest rate on debt (pre-tax, net)</t>
  </si>
  <si>
    <t>WACC tab: LTM net interest expense / average debt (4.20%)</t>
  </si>
  <si>
    <t>Noncontrolling interest, % of net income</t>
  </si>
  <si>
    <t>9M 2026 (Historical)</t>
  </si>
  <si>
    <t>Investment and working capital</t>
  </si>
  <si>
    <t>Operating D&amp;A, % of net sales</t>
  </si>
  <si>
    <t>FY2025 segment plus corporate D&amp;A / net sales (Historical); acquisition amortization modeled separately above</t>
  </si>
  <si>
    <t>Capital expenditures, % of net sales</t>
  </si>
  <si>
    <t>FY2023 3.5%, FY2024 3.3%, FY2025 3.0%, 9M 2026 2.7% (Historical); years 6-9 fade to the year-10 normalized level set on Projections</t>
  </si>
  <si>
    <t>Additions to other intangibles, % of net sales</t>
  </si>
  <si>
    <t>Average of FY2025 and LTM (Historical)</t>
  </si>
  <si>
    <t>Stock compensation and share-based 401(k) match, % of net sales</t>
  </si>
  <si>
    <t>FY2025 (Historical); non-cash, settled in shares</t>
  </si>
  <si>
    <t>Receivable days (on net sales)</t>
  </si>
  <si>
    <t>Average of FY2025 and LTM Sep-26 (Historical)</t>
  </si>
  <si>
    <t>Contract assets, % of net sales</t>
  </si>
  <si>
    <t>Inventory days (on cost of sales)</t>
  </si>
  <si>
    <t>Payable days (on cost of sales)</t>
  </si>
  <si>
    <t>Contract liabilities, % of net sales</t>
  </si>
  <si>
    <t>Other current assets, % of net sales</t>
  </si>
  <si>
    <t>Accrued compensation and other accrued liabilities, % of net sales</t>
  </si>
  <si>
    <t>Customer financing assets, % of net sales</t>
  </si>
  <si>
    <t>Other non-current assets (operating), % of net sales</t>
  </si>
  <si>
    <t>Other long-term liabilities, % of net sales</t>
  </si>
  <si>
    <t>Operating lease right-of-use assets, % of net sales</t>
  </si>
  <si>
    <t>Operating lease liabilities, % of net sales</t>
  </si>
  <si>
    <t>Capital structure and shareholder returns</t>
  </si>
  <si>
    <t>Total debt / EBITDA target</t>
  </si>
  <si>
    <t>LTM Sep-26 2.4x, FY2025 2.8x (Historical); RTX has repaid debt each year since 2024; Point Alpha assumes gradual deleveraging to 2.0x, refinancing maturities</t>
  </si>
  <si>
    <t>Minimum cash, % of net sales</t>
  </si>
  <si>
    <t>FY2021-25 average (Historical)</t>
  </si>
  <si>
    <t>Excess cash returned through buybacks</t>
  </si>
  <si>
    <t>2026E: none (no repurchases in 9M 2026; cash used for debt repayment); 2027E onward: 100% of cash above the minimum balance</t>
  </si>
  <si>
    <t>Dividend per share ($)</t>
  </si>
  <si>
    <t>2026E: 9M 2026 dividends paid per basic share annualized (Historical); grows at the rate below</t>
  </si>
  <si>
    <t>Dividend per share growth</t>
  </si>
  <si>
    <t>FY2025 dividends paid per share +10% vs FY2024 (Historical); 7% assumed, fading to terminal growth</t>
  </si>
  <si>
    <t>Gross share issuance (equity compensation), % of diluted shares</t>
  </si>
  <si>
    <t>FY2025 diluted shares +1.0% vs FY2024 with $50M of buybacks (Historical)</t>
  </si>
  <si>
    <t>Repurchase price growth per year</t>
  </si>
  <si>
    <t>Cost of equity less dividend yield at the mark price</t>
  </si>
  <si>
    <t>Assumed average repurchase price ($)</t>
  </si>
  <si>
    <t>Mark price compounded at the rate above</t>
  </si>
  <si>
    <t>Noncontrolling interest distributions, % of NCI earnings</t>
  </si>
  <si>
    <t>FY2025 implied: opening NCI + NCI earnings less closing NCI, over NCI earnings (Historical)</t>
  </si>
  <si>
    <t>Sensitivity settings</t>
  </si>
  <si>
    <t>WACC step (rows)</t>
  </si>
  <si>
    <t>Point Alpha standard: base plus and minus 0.5 and 1.0 points</t>
  </si>
  <si>
    <t>Terminal growth step (columns)</t>
  </si>
  <si>
    <t>Commercial aftermarket growth step, applied to years 1-5</t>
  </si>
  <si>
    <t>Second sensitivity: plus and minus 1.0 and 2.0 points on Collins and Pratt aftermarket growth</t>
  </si>
  <si>
    <t>Raytheon margin step, all years</t>
  </si>
  <si>
    <t>Second sensitivity: plus and minus 0.5 and 1.0 points</t>
  </si>
  <si>
    <t>Balance sheet policies (no numeric driver)</t>
  </si>
  <si>
    <t xml:space="preserve">   Goodwill held at the Dec 31, 2025 balance (no acquisitions, divestitures or impairments assumed)</t>
  </si>
  <si>
    <t xml:space="preserve">   Pension and postretirement obligations held at Dec 31, 2025; non-service pension income is non-cash and accrues to a pension surplus line</t>
  </si>
  <si>
    <t xml:space="preserve">   Accumulated other comprehensive loss and redeemable noncontrolling interest held at Dec 31, 2025</t>
  </si>
  <si>
    <t xml:space="preserve">   Deferred taxes not modeled (cash taxes equal book taxes); revolver draws only if cash falls below the minimum balance</t>
  </si>
  <si>
    <t>Other valuation inputs</t>
  </si>
  <si>
    <t>Preferred stock ($M)</t>
  </si>
  <si>
    <t>10-K FY2025 Consolidated Balance Sheet: preferred stock, 250,000 shares authorized, none issued or outstanding; Sep 30, 2026 balance sheet shows none</t>
  </si>
  <si>
    <t>Opening revolver balance, Dec 31, 2025 ($M)</t>
  </si>
  <si>
    <t>10-K FY2025 Note 9: $5.0 billion revolving credit agreement (expires August 2028), no borrowings outstanding at December 31, 2025</t>
  </si>
  <si>
    <t>Opening pension surplus accrual, Dec 31, 2025 ($M)</t>
  </si>
  <si>
    <t>Model line that accumulates non-service pension income from 2026E (non-cash); starts at zero because the FY2025A balance sheet carries the reported pension position in its own lines</t>
  </si>
  <si>
    <t>Cover rating when target is at or above the mark</t>
  </si>
  <si>
    <t>BUY</t>
  </si>
  <si>
    <t>Point Alpha rating convention; position direction (Long) is set separately on the Cover</t>
  </si>
  <si>
    <t>Cover rating when the mark is above the target</t>
  </si>
  <si>
    <t>HOLD, target under review</t>
  </si>
  <si>
    <t>Point Alpha rating convention: shown whenever the October 21, 2026 mark exceeds the blended target</t>
  </si>
  <si>
    <t>RTX Corporation (NYSE: RTX) | Historical financials</t>
  </si>
  <si>
    <t>$ billions unless stated (stored in $ millions, display scaled to billions). Per-share in $; shares in millions. FY ends December 31. Source column cites filing, period and line item; cell notes carry the filing URL.</t>
  </si>
  <si>
    <t>Fiscal period</t>
  </si>
  <si>
    <t>9M 2025A</t>
  </si>
  <si>
    <t>9M 2026A</t>
  </si>
  <si>
    <t>Q3 2026A</t>
  </si>
  <si>
    <t>LTM Sep-26A</t>
  </si>
  <si>
    <t>Source (filing, period, line item)</t>
  </si>
  <si>
    <t>Income statement</t>
  </si>
  <si>
    <t>Products sales</t>
  </si>
  <si>
    <t>n/d</t>
  </si>
  <si>
    <t>10-K FY2025 (FY23-25), 10-K FY2023 (FY21-22), 8-K Oct 20, 2026 Ex. 99 (9M, Q3). Statement of Operations: Products sales. Quarterly release does not split products and services (n/d).</t>
  </si>
  <si>
    <t>Services sales</t>
  </si>
  <si>
    <t>10-K FY2025 (FY23-25), 10-K FY2023 (FY21-22), 8-K Oct 20, 2026 Ex. 99 (9M, Q3). Statement of Operations: Services sales</t>
  </si>
  <si>
    <t>Net sales</t>
  </si>
  <si>
    <t>10-K FY2025 (FY23-25), 10-K FY2023 (FY21-22), 8-K Oct 20, 2026 Ex. 99 (9M, Q3). Statement of Operations: Total net sales (FY = products + services sales)</t>
  </si>
  <si>
    <t xml:space="preserve">   Memo: Powder Metal Matter sales reduction (in net sales)</t>
  </si>
  <si>
    <t>10-K FY2025, Segment note, sales by geographic region, Powder Metal Matter line (Pratt &amp; Whitney), FY2023</t>
  </si>
  <si>
    <t>Cost of sales: products</t>
  </si>
  <si>
    <t>10-K FY2025 (FY23-25), 10-K FY2023 (FY21-22), 8-K Oct 20, 2026 Ex. 99 (9M, Q3). Statement of Operations: Cost of sales - products</t>
  </si>
  <si>
    <t>Cost of sales: services</t>
  </si>
  <si>
    <t>10-K FY2025 (FY23-25), 10-K FY2023 (FY21-22), 8-K Oct 20, 2026 Ex. 99 (9M, Q3). Statement of Operations: Cost of sales - services</t>
  </si>
  <si>
    <t>Total cost of sales</t>
  </si>
  <si>
    <t>10-K FY2025 (FY23-25), 10-K FY2023 (FY21-22), 8-K Oct 20, 2026 Ex. 99 (9M, Q3). Statement of Operations: Cost of sales (release reports the total only)</t>
  </si>
  <si>
    <t>Gross profit</t>
  </si>
  <si>
    <t>Calculated: net sales less total cost of sales</t>
  </si>
  <si>
    <t xml:space="preserve">   Gross margin</t>
  </si>
  <si>
    <t>Calculated</t>
  </si>
  <si>
    <t>Research and development</t>
  </si>
  <si>
    <t>10-K FY2025 (FY23-25), 10-K FY2023 (FY21-22), 8-K Oct 20, 2026 Ex. 99 (9M, Q3). Statement of Operations: Research and development</t>
  </si>
  <si>
    <t>Selling, general and administrative</t>
  </si>
  <si>
    <t>10-K FY2025 (FY23-25), 10-K FY2023 (FY21-22), 8-K Oct 20, 2026 Ex. 99 (9M, Q3). Statement of Operations: Selling, general, and administrative</t>
  </si>
  <si>
    <t>Other income (expense), net</t>
  </si>
  <si>
    <t>10-K FY2025 (FY23-25), 10-K FY2023 (FY21-22), 8-K Oct 20, 2026 Ex. 99 (9M, Q3). Statement of Operations: Other income (expense), net</t>
  </si>
  <si>
    <t>Operating profit</t>
  </si>
  <si>
    <t>Calculated; ties to reported Operating profit (spot-checked on Checks)</t>
  </si>
  <si>
    <t xml:space="preserve">   Operating margin</t>
  </si>
  <si>
    <t xml:space="preserve">   Memo: Powder Metal Matter charge (in operating profit)</t>
  </si>
  <si>
    <t>10-K FY2025, Note 17 Commitments and Contingencies: Q3 2023 pre-tax operating profit charge of $2.9 billion (Pratt &amp; Whitney 51% program share); disclosed rounded to $0.1 billion</t>
  </si>
  <si>
    <t>10-K FY2025 (FY23-25), 10-K FY2023 (FY21-22), 8-K Oct 20, 2026 Ex. 99 (9M, Q3). Statement of Operations: Non-service pension income (shown as income)</t>
  </si>
  <si>
    <t>Debt extinguishment costs</t>
  </si>
  <si>
    <t>10-K FY2023, Statement of Operations, Debt extinguishment costs (FY2021)</t>
  </si>
  <si>
    <t>Interest expense, net</t>
  </si>
  <si>
    <t>10-K FY2025 (FY23-25), 10-K FY2023 (FY21-22), 8-K Oct 20, 2026 Ex. 99 (9M, Q3). Statement of Operations: Interest expense, net</t>
  </si>
  <si>
    <t>Income before income taxes</t>
  </si>
  <si>
    <t>Calculated; ties to reported</t>
  </si>
  <si>
    <t>Income tax expense</t>
  </si>
  <si>
    <t>10-K FY2025 (FY23-25), 10-K FY2023 (FY21-22), 8-K Oct 20, 2026 Ex. 99 (9M, Q3). Statement of Operations: Income tax expense</t>
  </si>
  <si>
    <t xml:space="preserve">   Effective tax rate</t>
  </si>
  <si>
    <t>Calculated; 10-K MD&amp;A reports 18.9%, 12.9%, 11.9%, 19.1%, 19.1% (FY21-25)</t>
  </si>
  <si>
    <t>Net income (continuing operations)</t>
  </si>
  <si>
    <t>Less: noncontrolling interest earnings</t>
  </si>
  <si>
    <t>10-K FY2025 (FY23-25), 10-K FY2023 (FY21-22), 8-K Oct 20, 2026 Ex. 99 (9M, Q3). Statement of Operations: Noncontrolling interest in subsidiaries’ earnings</t>
  </si>
  <si>
    <t>Discontinued operations, net</t>
  </si>
  <si>
    <t>10-K FY2023, Statement of Operations, Loss from discontinued operations attributable to common shareowners</t>
  </si>
  <si>
    <t>Net income attributable to common shareowners</t>
  </si>
  <si>
    <t>Diluted EPS ($)</t>
  </si>
  <si>
    <t>10-K FY2025 (FY23-25), 10-K FY2023 (FY21-22), 8-K Oct 20, 2026 Ex. 99 (9M, Q3). Statement of Operations: Diluted EPS, net income attributable to common shareowners</t>
  </si>
  <si>
    <t>Diluted shares (millions)</t>
  </si>
  <si>
    <t>10-K FY2025 (FY23-25), 10-K FY2023 (FY21-22), 8-K Oct 20, 2026 Ex. 99 (9M, Q3). Statement of Operations: Weighted average diluted shares (LTM column = Q3 2026)</t>
  </si>
  <si>
    <t>Basic shares (millions)</t>
  </si>
  <si>
    <t>10-K FY2025 (FY23-25), 10-K FY2023 (FY21-22), 8-K Oct 20, 2026 Ex. 99 (9M, Q3). Statement of Operations: Weighted average basic shares</t>
  </si>
  <si>
    <t>Depreciation and amortization (cash flow statement)</t>
  </si>
  <si>
    <t>Link to cash flow statement below</t>
  </si>
  <si>
    <t>EBITDA (operating profit + D&amp;A)</t>
  </si>
  <si>
    <t xml:space="preserve">   EBITDA margin</t>
  </si>
  <si>
    <t>Segment results</t>
  </si>
  <si>
    <t>Net sales by segment</t>
  </si>
  <si>
    <t xml:space="preserve">   Collins Aerospace</t>
  </si>
  <si>
    <t>10-K FY2025 (FY23-25), 10-K FY2023 (FY21-22), 8-K Oct 20, 2026 Ex. 99 (9M, Q3). Segment note / Segment Net Sales and Operating Profit: Collins Aerospace net sales</t>
  </si>
  <si>
    <t xml:space="preserve">   Pratt &amp; Whitney</t>
  </si>
  <si>
    <t>10-K FY2025 (FY23-25), 10-K FY2023 (FY21-22), 8-K Oct 20, 2026 Ex. 99 (9M, Q3). Segment note / Segment Net Sales and Operating Profit: Pratt &amp; Whitney net sales (FY2023 includes Powder Metal Matter reduction)</t>
  </si>
  <si>
    <t xml:space="preserve">   Raytheon</t>
  </si>
  <si>
    <t>10-K FY2025 (FY23-25), 10-K FY2023 (FY21-22), 8-K Oct 20, 2026 Ex. 99 (9M, Q3). Segment note / Segment Net Sales and Operating Profit: Raytheon net sales</t>
  </si>
  <si>
    <t>Total segment sales</t>
  </si>
  <si>
    <t xml:space="preserve">   Eliminations and other</t>
  </si>
  <si>
    <t>10-K FY2025 (FY23-25), 10-K FY2023 (FY21-22), 8-K Oct 20, 2026 Ex. 99 (9M, Q3). Segment note / Segment Net Sales and Operating Profit: Eliminations and other</t>
  </si>
  <si>
    <t>Consolidated net sales</t>
  </si>
  <si>
    <t>Calculated; ties to Net sales</t>
  </si>
  <si>
    <t>Operating profit by segment</t>
  </si>
  <si>
    <t>10-K FY2025 (FY23-25), 10-K FY2023 (FY21-22), 8-K Oct 20, 2026 Ex. 99 (9M, Q3). Segment note / Segment Net Sales and Operating Profit: Collins Aerospace operating profit</t>
  </si>
  <si>
    <t>10-K FY2025 (FY23-25), 10-K FY2023 (FY21-22), 8-K Oct 20, 2026 Ex. 99 (9M, Q3). Segment note / Segment Net Sales and Operating Profit: Pratt &amp; Whitney operating profit (loss); FY2023 includes Powder Metal Matter; Q3 2026 includes $363M customer bankruptcy charge</t>
  </si>
  <si>
    <t>10-K FY2025 (FY23-25), 10-K FY2023 (FY21-22), 8-K Oct 20, 2026 Ex. 99 (9M, Q3). Segment note / Segment Net Sales and Operating Profit: Raytheon operating profit</t>
  </si>
  <si>
    <t>Total segment operating profit</t>
  </si>
  <si>
    <t xml:space="preserve">   Corporate expenses and other unallocated items</t>
  </si>
  <si>
    <t>10-K FY2025 (FY23-25), 10-K FY2023 (FY21-22), 8-K Oct 20, 2026 Ex. 99 (9M, Q3). Segment note / Segment Net Sales and Operating Profit: Corporate expenses and other unallocated items (FY2024 includes $0.9B legal matters charge)</t>
  </si>
  <si>
    <t xml:space="preserve">   FAS/CAS operating adjustment</t>
  </si>
  <si>
    <t>10-K FY2025 (FY23-25), 10-K FY2023 (FY21-22), 8-K Oct 20, 2026 Ex. 99 (9M, Q3). Segment note / Segment Net Sales and Operating Profit: FAS/CAS operating adjustment</t>
  </si>
  <si>
    <t xml:space="preserve">   Acquisition accounting adjustments</t>
  </si>
  <si>
    <t>10-K FY2025 (FY23-25), 10-K FY2023 (FY21-22), 8-K Oct 20, 2026 Ex. 99 (9M, Q3). Segment note / Segment Net Sales and Operating Profit: Acquisition accounting adjustments</t>
  </si>
  <si>
    <t>Consolidated operating profit</t>
  </si>
  <si>
    <t>Calculated; ties to Operating profit</t>
  </si>
  <si>
    <t>Segment operating margin</t>
  </si>
  <si>
    <t xml:space="preserve">   Pratt &amp; Whitney excl. Powder Metal Matter</t>
  </si>
  <si>
    <t>Calculated: removes FY2023 sales reduction and operating profit charge</t>
  </si>
  <si>
    <t xml:space="preserve">   Total segment</t>
  </si>
  <si>
    <t>Segment D&amp;A and capital expenditures (annual disclosure only)</t>
  </si>
  <si>
    <t xml:space="preserve">   D&amp;A: Collins Aerospace</t>
  </si>
  <si>
    <t>10-K FY2025 (FY23-25), 10-K FY2023 (FY21-22), Segment note, Depreciation &amp; Amortization. Not in quarterly release (n/d).</t>
  </si>
  <si>
    <t xml:space="preserve">   D&amp;A: Pratt &amp; Whitney</t>
  </si>
  <si>
    <t>Same as above</t>
  </si>
  <si>
    <t xml:space="preserve">   D&amp;A: Raytheon</t>
  </si>
  <si>
    <t xml:space="preserve">   D&amp;A: Corporate, eliminations and other</t>
  </si>
  <si>
    <t xml:space="preserve">   D&amp;A: Acquisition accounting adjustments</t>
  </si>
  <si>
    <t xml:space="preserve">   Capex: Collins Aerospace</t>
  </si>
  <si>
    <t>10-K FY2025 (FY23-25), 10-K FY2023 (FY21-22), Segment note, Capital Expenditures</t>
  </si>
  <si>
    <t xml:space="preserve">   Capex: Pratt &amp; Whitney</t>
  </si>
  <si>
    <t xml:space="preserve">   Capex: Raytheon</t>
  </si>
  <si>
    <t>External sales by type of customer (annual disclosure only)</t>
  </si>
  <si>
    <t xml:space="preserve">   Collins: U.S. government</t>
  </si>
  <si>
    <t>10-K FY2025 (FY23-25), 10-K FY2023 (FY21-22). Revenue disaggregation by type of customer: Collins, Sales to the U.S. government. Quarterly detail is in 10-Qs, not the release (n/d).</t>
  </si>
  <si>
    <t xml:space="preserve">   Collins: foreign military sales via U.S. government</t>
  </si>
  <si>
    <t>10-K FY2025 (FY23-25), 10-K FY2023 (FY21-22). Revenue disaggregation by type of customer: Collins, Foreign military sales through the U.S. government</t>
  </si>
  <si>
    <t xml:space="preserve">   Collins: foreign government direct commercial sales</t>
  </si>
  <si>
    <t>10-K FY2025 (FY23-25), 10-K FY2023 (FY21-22). Revenue disaggregation by type of customer: Collins, Foreign government direct commercial sales</t>
  </si>
  <si>
    <t xml:space="preserve">   Collins defense sales</t>
  </si>
  <si>
    <t>Calculated: sum of the three government customer lines</t>
  </si>
  <si>
    <t xml:space="preserve">   Collins commercial aerospace and other commercial</t>
  </si>
  <si>
    <t>10-K FY2025 (FY23-25), 10-K FY2023 (FY21-22). Revenue disaggregation by type of customer: Collins, Commercial aerospace and other commercial sales</t>
  </si>
  <si>
    <t xml:space="preserve">   Collins inter-segment sales</t>
  </si>
  <si>
    <t>10-K FY2025 (FY23-25), 10-K FY2023 (FY21-22). Revenue disaggregation by type of customer: Collins, Inter-segment sales</t>
  </si>
  <si>
    <t xml:space="preserve">   Collins commercial share of external sales</t>
  </si>
  <si>
    <t xml:space="preserve">   Pratt: U.S. government</t>
  </si>
  <si>
    <t>10-K FY2025 (FY23-25), 10-K FY2023 (FY21-22). Revenue disaggregation by type of customer: Pratt &amp; Whitney, Sales to the U.S. government</t>
  </si>
  <si>
    <t xml:space="preserve">   Pratt: foreign military sales via U.S. government</t>
  </si>
  <si>
    <t>10-K FY2025 (FY23-25), 10-K FY2023 (FY21-22). Revenue disaggregation by type of customer: Pratt &amp; Whitney, Foreign military sales through the U.S. government</t>
  </si>
  <si>
    <t xml:space="preserve">   Pratt: foreign government direct commercial sales</t>
  </si>
  <si>
    <t>10-K FY2025 (FY23-25), 10-K FY2023 (FY21-22). Revenue disaggregation by type of customer: Pratt &amp; Whitney, Foreign government direct commercial sales</t>
  </si>
  <si>
    <t xml:space="preserve">   Pratt military sales</t>
  </si>
  <si>
    <t xml:space="preserve">   Pratt commercial aerospace and other commercial</t>
  </si>
  <si>
    <t>10-K FY2025 (FY23-25), 10-K FY2023 (FY21-22). Revenue disaggregation by type of customer: Pratt &amp; Whitney, Commercial aerospace and other commercial sales (FY2023 net of Powder Metal Matter)</t>
  </si>
  <si>
    <t xml:space="preserve">   Pratt inter-segment sales</t>
  </si>
  <si>
    <t>10-K FY2025 (FY23-25), 10-K FY2023 (FY21-22). Revenue disaggregation by type of customer: Pratt &amp; Whitney, Inter-segment sales</t>
  </si>
  <si>
    <t xml:space="preserve">   Pratt commercial share of external sales</t>
  </si>
  <si>
    <t xml:space="preserve">   Raytheon: U.S. government</t>
  </si>
  <si>
    <t>10-K FY2025 (FY23-25), 10-K FY2023 (FY21-22). Revenue disaggregation by type of customer: Raytheon, Sales to the U.S. government</t>
  </si>
  <si>
    <t xml:space="preserve">   Raytheon: foreign military sales via U.S. government</t>
  </si>
  <si>
    <t>10-K FY2025 (FY23-25), 10-K FY2023 (FY21-22). Revenue disaggregation by type of customer: Raytheon, Foreign military sales through the U.S. government</t>
  </si>
  <si>
    <t xml:space="preserve">   Raytheon: foreign government direct commercial sales</t>
  </si>
  <si>
    <t>10-K FY2025 (FY23-25), 10-K FY2023 (FY21-22). Revenue disaggregation by type of customer: Raytheon, Foreign government direct commercial sales</t>
  </si>
  <si>
    <t xml:space="preserve">   Raytheon: commercial and other</t>
  </si>
  <si>
    <t>10-K FY2025 (FY23-25), 10-K FY2023 (FY21-22). Revenue disaggregation by type of customer: Raytheon, Commercial aerospace and other commercial sales</t>
  </si>
  <si>
    <t xml:space="preserve">   Raytheon inter-segment sales</t>
  </si>
  <si>
    <t>10-K FY2025 (FY23-25), 10-K FY2023 (FY21-22). Revenue disaggregation by type of customer: Raytheon, Inter-segment sales</t>
  </si>
  <si>
    <t>Commercial channel detail</t>
  </si>
  <si>
    <t xml:space="preserve">   Collins commercial OE sales</t>
  </si>
  <si>
    <t>n/d: RTX does not disclose commercial OE or aftermarket sales in dollars in its 10-K or earnings release; only organic growth rates (below)</t>
  </si>
  <si>
    <t xml:space="preserve">   Collins commercial aftermarket sales</t>
  </si>
  <si>
    <t>n/d: same as above</t>
  </si>
  <si>
    <t xml:space="preserve">   Pratt commercial OE sales</t>
  </si>
  <si>
    <t xml:space="preserve">   Pratt commercial aftermarket sales</t>
  </si>
  <si>
    <t xml:space="preserve">   Collins commercial OE organic growth (yoy)</t>
  </si>
  <si>
    <t>8-K Oct 20, 2026 Ex. 99, Segment Results, Collins Aerospace: commercial OE +23% (Q3 2026 vs Q3 2025)</t>
  </si>
  <si>
    <t xml:space="preserve">   Collins commercial aftermarket organic growth (yoy)</t>
  </si>
  <si>
    <t>Same: commercial aftermarket +9%</t>
  </si>
  <si>
    <t xml:space="preserve">   Collins defense organic growth (yoy)</t>
  </si>
  <si>
    <t>Same: defense +7%</t>
  </si>
  <si>
    <t xml:space="preserve">   Pratt commercial OE growth (yoy)</t>
  </si>
  <si>
    <t>8-K Oct 20, 2026 Ex. 99, Segment Results, Pratt &amp; Whitney: commercial OE down 5%</t>
  </si>
  <si>
    <t xml:space="preserve">   Pratt commercial aftermarket growth (yoy)</t>
  </si>
  <si>
    <t>Same: commercial aftermarket +21%</t>
  </si>
  <si>
    <t xml:space="preserve">   Pratt military growth (yoy)</t>
  </si>
  <si>
    <t>Same: military +2%</t>
  </si>
  <si>
    <t>Balance sheet</t>
  </si>
  <si>
    <t>Balance sheet date</t>
  </si>
  <si>
    <t>Dec-21</t>
  </si>
  <si>
    <t>Dec-22</t>
  </si>
  <si>
    <t>Dec-23</t>
  </si>
  <si>
    <t>Dec-24</t>
  </si>
  <si>
    <t>Dec-25</t>
  </si>
  <si>
    <t>Sep-26</t>
  </si>
  <si>
    <t>Cash and cash equivalents</t>
  </si>
  <si>
    <t>10-K FY2022 (Dec-21), 10-K FY2023 (Dec-22, Dec-23), 10-K FY2025 (Dec-24, Dec-25), 8-K Oct 20, 2026 Ex. 99 (Sep-26). Balance Sheet: Cash and cash equivalents</t>
  </si>
  <si>
    <t>Accounts receivable, net</t>
  </si>
  <si>
    <t>10-K FY2022 (Dec-21), 10-K FY2023 (Dec-22, Dec-23), 10-K FY2025 (Dec-24, Dec-25), 8-K Oct 20, 2026 Ex. 99 (Sep-26). Balance Sheet: Accounts receivable, net</t>
  </si>
  <si>
    <t>Contract assets, net</t>
  </si>
  <si>
    <t>10-K FY2022 (Dec-21), 10-K FY2023 (Dec-22, Dec-23), 10-K FY2025 (Dec-24, Dec-25), 8-K Oct 20, 2026 Ex. 99 (Sep-26). Balance Sheet: Contract assets</t>
  </si>
  <si>
    <t>Inventory, net</t>
  </si>
  <si>
    <t>10-K FY2022 (Dec-21), 10-K FY2023 (Dec-22, Dec-23), 10-K FY2025 (Dec-24, Dec-25), 8-K Oct 20, 2026 Ex. 99 (Sep-26). Balance Sheet: Inventory, net</t>
  </si>
  <si>
    <t>Other assets, current</t>
  </si>
  <si>
    <t>10-K FY2022 (Dec-21), 10-K FY2023 (Dec-22, Dec-23), 10-K FY2025 (Dec-24, Dec-25), 8-K Oct 20, 2026 Ex. 99 (Sep-26). Balance Sheet: Other assets, current</t>
  </si>
  <si>
    <t>Total current assets</t>
  </si>
  <si>
    <t>Customer financing assets</t>
  </si>
  <si>
    <t>10-K FY2022 (Dec-21), 10-K FY2023 (Dec-22, Dec-23), 10-K FY2025 (Dec-24, Dec-25), 8-K Oct 20, 2026 Ex. 99 (Sep-26). Balance Sheet: Customer financing assets</t>
  </si>
  <si>
    <t>Fixed assets, net</t>
  </si>
  <si>
    <t>10-K FY2022 (Dec-21), 10-K FY2023 (Dec-22, Dec-23), 10-K FY2025 (Dec-24, Dec-25), 8-K Oct 20, 2026 Ex. 99 (Sep-26). Balance Sheet: Fixed assets, net</t>
  </si>
  <si>
    <t>Operating lease right-of-use assets</t>
  </si>
  <si>
    <t>10-K FY2022 (Dec-21), 10-K FY2023 (Dec-22, Dec-23), 10-K FY2025 (Dec-24, Dec-25), 8-K Oct 20, 2026 Ex. 99 (Sep-26). Balance Sheet: Operating lease right-of-use assets</t>
  </si>
  <si>
    <t>Goodwill</t>
  </si>
  <si>
    <t>10-K FY2022 (Dec-21), 10-K FY2023 (Dec-22, Dec-23), 10-K FY2025 (Dec-24, Dec-25), 8-K Oct 20, 2026 Ex. 99 (Sep-26). Balance Sheet: Goodwill</t>
  </si>
  <si>
    <t>Intangible assets, net</t>
  </si>
  <si>
    <t>10-K FY2022 (Dec-21), 10-K FY2023 (Dec-22, Dec-23), 10-K FY2025 (Dec-24, Dec-25), 8-K Oct 20, 2026 Ex. 99 (Sep-26). Balance Sheet: Intangible assets, net</t>
  </si>
  <si>
    <t>Other assets</t>
  </si>
  <si>
    <t>10-K FY2022 (Dec-21), 10-K FY2023 (Dec-22, Dec-23), 10-K FY2025 (Dec-24, Dec-25), 8-K Oct 20, 2026 Ex. 99 (Sep-26). Balance Sheet: Other assets</t>
  </si>
  <si>
    <t>Total assets</t>
  </si>
  <si>
    <t>Short-term borrowings</t>
  </si>
  <si>
    <t>10-K FY2022 (Dec-21), 10-K FY2023 (Dec-22, Dec-23), 10-K FY2025 (Dec-24, Dec-25), 8-K Oct 20, 2026 Ex. 99 (Sep-26). Balance Sheet: Short-term borrowings</t>
  </si>
  <si>
    <t>Accounts payable</t>
  </si>
  <si>
    <t>10-K FY2022 (Dec-21), 10-K FY2023 (Dec-22, Dec-23), 10-K FY2025 (Dec-24, Dec-25), 8-K Oct 20, 2026 Ex. 99 (Sep-26). Balance Sheet: Accounts payable</t>
  </si>
  <si>
    <t>Accrued employee compensation</t>
  </si>
  <si>
    <t>10-K FY2022 (Dec-21), 10-K FY2023 (Dec-22, Dec-23), 10-K FY2025 (Dec-24, Dec-25), 8-K Oct 20, 2026 Ex. 99 (Sep-26). Balance Sheet: Accrued employee compensation</t>
  </si>
  <si>
    <t>Other accrued liabilities</t>
  </si>
  <si>
    <t>10-K FY2022 (Dec-21), 10-K FY2023 (Dec-22, Dec-23), 10-K FY2025 (Dec-24, Dec-25), 8-K Oct 20, 2026 Ex. 99 (Sep-26). Balance Sheet: Other accrued liabilities</t>
  </si>
  <si>
    <t>Contract liabilities</t>
  </si>
  <si>
    <t>10-K FY2022 (Dec-21), 10-K FY2023 (Dec-22, Dec-23), 10-K FY2025 (Dec-24, Dec-25), 8-K Oct 20, 2026 Ex. 99 (Sep-26). Balance Sheet: Contract liabilities</t>
  </si>
  <si>
    <t>Long-term debt currently due</t>
  </si>
  <si>
    <t>10-K FY2022 (Dec-21), 10-K FY2023 (Dec-22, Dec-23), 10-K FY2025 (Dec-24, Dec-25), 8-K Oct 20, 2026 Ex. 99 (Sep-26). Balance Sheet: Long-term debt currently due</t>
  </si>
  <si>
    <t>Total current liabilities</t>
  </si>
  <si>
    <t>Long-term debt</t>
  </si>
  <si>
    <t>10-K FY2022 (Dec-21), 10-K FY2023 (Dec-22, Dec-23), 10-K FY2025 (Dec-24, Dec-25), 8-K Oct 20, 2026 Ex. 99 (Sep-26). Balance Sheet: Long-term debt</t>
  </si>
  <si>
    <t>Operating lease liabilities, non-current</t>
  </si>
  <si>
    <t>10-K FY2022 (Dec-21), 10-K FY2023 (Dec-22, Dec-23), 10-K FY2025 (Dec-24, Dec-25), 8-K Oct 20, 2026 Ex. 99 (Sep-26). Balance Sheet: Operating lease liabilities, non-current</t>
  </si>
  <si>
    <t>Future pension and postretirement benefit obligations</t>
  </si>
  <si>
    <t>10-K FY2022 (Dec-21), 10-K FY2023 (Dec-22, Dec-23), 10-K FY2025 (Dec-24, Dec-25), 8-K Oct 20, 2026 Ex. 99 (Sep-26). Balance Sheet: Future pension and postretirement benefit obligations</t>
  </si>
  <si>
    <t>Other long-term liabilities</t>
  </si>
  <si>
    <t>10-K FY2022 (Dec-21), 10-K FY2023 (Dec-22, Dec-23), 10-K FY2025 (Dec-24, Dec-25), 8-K Oct 20, 2026 Ex. 99 (Sep-26). Balance Sheet: Other long-term liabilities</t>
  </si>
  <si>
    <t>Total liabilities</t>
  </si>
  <si>
    <t>Redeemable noncontrolling interest</t>
  </si>
  <si>
    <t>10-K FY2022 (Dec-21), 10-K FY2023 (Dec-22, Dec-23), 10-K FY2025 (Dec-24, Dec-25), 8-K Oct 20, 2026 Ex. 99 (Sep-26). Balance Sheet: Redeemable noncontrolling interest</t>
  </si>
  <si>
    <t>Common stock</t>
  </si>
  <si>
    <t>10-K FY2022 (Dec-21), 10-K FY2023 (Dec-22, Dec-23), 10-K FY2025 (Dec-24, Dec-25), 8-K Oct 20, 2026 Ex. 99 (Sep-26). Balance Sheet: Common stock</t>
  </si>
  <si>
    <t>Treasury stock</t>
  </si>
  <si>
    <t>10-K FY2022 (Dec-21), 10-K FY2023 (Dec-22, Dec-23), 10-K FY2025 (Dec-24, Dec-25), 8-K Oct 20, 2026 Ex. 99 (Sep-26). Balance Sheet: Treasury stock</t>
  </si>
  <si>
    <t>Retained earnings</t>
  </si>
  <si>
    <t>10-K FY2022 (Dec-21), 10-K FY2023 (Dec-22, Dec-23), 10-K FY2025 (Dec-24, Dec-25), 8-K Oct 20, 2026 Ex. 99 (Sep-26). Balance Sheet: Retained earnings</t>
  </si>
  <si>
    <t>Unearned ESOP shares</t>
  </si>
  <si>
    <t>10-K FY2022 (Dec-21), 10-K FY2023 (Dec-22, Dec-23), 10-K FY2025 (Dec-24, Dec-25), 8-K Oct 20, 2026 Ex. 99 (Sep-26). Balance Sheet: Unearned ESOP shares (none after 2024)</t>
  </si>
  <si>
    <t>Accumulated other comprehensive loss</t>
  </si>
  <si>
    <t>10-K FY2022 (Dec-21), 10-K FY2023 (Dec-22, Dec-23), 10-K FY2025 (Dec-24, Dec-25), 8-K Oct 20, 2026 Ex. 99 (Sep-26). Balance Sheet: Accumulated other comprehensive loss</t>
  </si>
  <si>
    <t>Total shareowners’ equity</t>
  </si>
  <si>
    <t>Noncontrolling interest</t>
  </si>
  <si>
    <t>10-K FY2022 (Dec-21), 10-K FY2023 (Dec-22, Dec-23), 10-K FY2025 (Dec-24, Dec-25), 8-K Oct 20, 2026 Ex. 99 (Sep-26). Balance Sheet: Noncontrolling interest</t>
  </si>
  <si>
    <t>Total equity</t>
  </si>
  <si>
    <t>Total liabilities, redeemable NCI and equity</t>
  </si>
  <si>
    <t xml:space="preserve">   Check: assets less liabilities and equity</t>
  </si>
  <si>
    <t>Must be zero</t>
  </si>
  <si>
    <t>Total debt (ST borrowings + current and long-term debt)</t>
  </si>
  <si>
    <t>Calculated; matches data-pack definition (excludes operating leases)</t>
  </si>
  <si>
    <t>Net debt</t>
  </si>
  <si>
    <t>Cash flow statement</t>
  </si>
  <si>
    <t>10-K FY2025 (FY23-25), 10-K FY2023 (FY21-22), 8-K Oct 20, 2026 Ex. 99 (9M, Q3). Statement of Cash Flows: Net income</t>
  </si>
  <si>
    <t>Depreciation and amortization</t>
  </si>
  <si>
    <t>10-K FY2025 (FY23-25), 10-K FY2023 (FY21-22), 8-K Oct 20, 2026 Ex. 99 (9M, Q3). Statement of Cash Flows: Depreciation and amortization</t>
  </si>
  <si>
    <t>Deferred income tax provision (benefit)</t>
  </si>
  <si>
    <t>10-K FY2025 (FY23-25), 10-K FY2023 (FY21-22), 8-K Oct 20, 2026 Ex. 99 (9M, Q3). Statement of Cash Flows: Deferred income tax provision (benefit)</t>
  </si>
  <si>
    <t>Stock compensation cost</t>
  </si>
  <si>
    <t>10-K FY2025 (FY23-25), 10-K FY2023 (FY21-22), 8-K Oct 20, 2026 Ex. 99 (9M, Q3). Statement of Cash Flows: Stock compensation cost</t>
  </si>
  <si>
    <t>Net periodic pension and postretirement income</t>
  </si>
  <si>
    <t>10-K FY2025 (FY23-25), 10-K FY2023 (FY21-22), 8-K Oct 20, 2026 Ex. 99 (9M, Q3). Statement of Cash Flows: Net periodic pension and other postretirement income</t>
  </si>
  <si>
    <t>Share-based 401(k) matching contributions</t>
  </si>
  <si>
    <t>10-K FY2025 (FY23-25), 10-K FY2023 (FY21-22), 8-K Oct 20, 2026 Ex. 99 (9M, Q3). Statement of Cash Flows: Share-based 401(k) matching contributions (FY21-22 included in Other operating activities in the 10-K FY2023 presentation)</t>
  </si>
  <si>
    <t>Debt extinguishment costs and gain on sale (non-cash)</t>
  </si>
  <si>
    <t>10-K FY2025 (FY23-25), 10-K FY2023 (FY21-22), 8-K Oct 20, 2026 Ex. 99 (9M, Q3). Statement of Cash Flows: Debt extinguishment costs (FY21); Gain on sale of CIS business (FY24)</t>
  </si>
  <si>
    <t>Change in accounts receivable</t>
  </si>
  <si>
    <t>10-K FY2025 (FY23-25), 10-K FY2023 (FY21-22), 8-K Oct 20, 2026 Ex. 99 (9M, Q3). Statement of Cash Flows: Change in: Accounts receivable</t>
  </si>
  <si>
    <t>Change in contract assets</t>
  </si>
  <si>
    <t>10-K FY2025 (FY23-25), 10-K FY2023 (FY21-22), 8-K Oct 20, 2026 Ex. 99 (9M, Q3). Statement of Cash Flows: Change in: Contract assets</t>
  </si>
  <si>
    <t>Change in inventory</t>
  </si>
  <si>
    <t>10-K FY2025 (FY23-25), 10-K FY2023 (FY21-22), 8-K Oct 20, 2026 Ex. 99 (9M, Q3). Statement of Cash Flows: Change in: Inventory</t>
  </si>
  <si>
    <t>Change in other current assets</t>
  </si>
  <si>
    <t>10-K FY2025 (FY23-25), 10-K FY2023 (FY21-22), 8-K Oct 20, 2026 Ex. 99 (9M, Q3). Statement of Cash Flows: Change in: Other current assets</t>
  </si>
  <si>
    <t>Change in accounts payable and accrued liabilities</t>
  </si>
  <si>
    <t>10-K FY2025 (FY23-25), 10-K FY2023 (FY21-22), 8-K Oct 20, 2026 Ex. 99 (9M, Q3). Statement of Cash Flows: Change in: Accounts payable and accrued liabilities</t>
  </si>
  <si>
    <t>Change in contract liabilities</t>
  </si>
  <si>
    <t>10-K FY2025 (FY23-25), 10-K FY2023 (FY21-22), 8-K Oct 20, 2026 Ex. 99 (9M, Q3). Statement of Cash Flows: Change in: Contract liabilities</t>
  </si>
  <si>
    <t>Other operating activities, net</t>
  </si>
  <si>
    <t>10-K FY2025 (FY23-25), 10-K FY2023 (FY21-22), 8-K Oct 20, 2026 Ex. 99 (9M, Q3). Statement of Cash Flows: Other operating activities, net</t>
  </si>
  <si>
    <t>Net cash from operating activities</t>
  </si>
  <si>
    <t>Calculated; ties to reported (FY21-22 continuing operations)</t>
  </si>
  <si>
    <t>Capital expenditures</t>
  </si>
  <si>
    <t>10-K FY2025 (FY23-25), 10-K FY2023 (FY21-22), 8-K Oct 20, 2026 Ex. 99 (9M, Q3). Statement of Cash Flows: Capital expenditures</t>
  </si>
  <si>
    <t>Payments on customer financing assets</t>
  </si>
  <si>
    <t>10-K FY2025 (FY23-25), 10-K FY2023 (FY21-22), 8-K Oct 20, 2026 Ex. 99 (9M, Q3). Statement of Cash Flows: Payments on customer financing assets (quarterly release includes in Other investing)</t>
  </si>
  <si>
    <t>Receipts from customer financing assets</t>
  </si>
  <si>
    <t>10-K FY2025 (FY23-25), 10-K FY2023 (FY21-22), 8-K Oct 20, 2026 Ex. 99 (9M, Q3). Statement of Cash Flows: Receipts from customer financing assets (quarterly release includes in Other investing)</t>
  </si>
  <si>
    <t>Investments in businesses</t>
  </si>
  <si>
    <t>10-K FY2025 (FY23-25), 10-K FY2023 (FY21-22), 8-K Oct 20, 2026 Ex. 99 (9M, Q3). Statement of Cash Flows: Investments in businesses</t>
  </si>
  <si>
    <t>Dispositions of businesses, net of cash transferred</t>
  </si>
  <si>
    <t>10-K FY2025 (FY23-25), 10-K FY2023 (FY21-22), 8-K Oct 20, 2026 Ex. 99 (9M, Q3). Statement of Cash Flows: Dispositions of businesses, net of cash transferred</t>
  </si>
  <si>
    <t>Increase in other intangible assets</t>
  </si>
  <si>
    <t>10-K FY2025 (FY23-25), 10-K FY2023 (FY21-22), 8-K Oct 20, 2026 Ex. 99 (9M, Q3). Statement of Cash Flows: Increase in other intangible assets</t>
  </si>
  <si>
    <t>Settlements of derivative contracts, net</t>
  </si>
  <si>
    <t>10-K FY2025 (FY23-25), 10-K FY2023 (FY21-22), 8-K Oct 20, 2026 Ex. 99 (9M, Q3). Statement of Cash Flows: Receipts (payments) from settlements of derivative contracts, net</t>
  </si>
  <si>
    <t>Other investing activities, net</t>
  </si>
  <si>
    <t>10-K FY2025 (FY23-25), 10-K FY2023 (FY21-22), 8-K Oct 20, 2026 Ex. 99 (9M, Q3). Statement of Cash Flows: Other investing activities, net</t>
  </si>
  <si>
    <t>Net cash from investing activities</t>
  </si>
  <si>
    <t>Proceeds from long-term debt and bridge loan</t>
  </si>
  <si>
    <t>10-K FY2025 (FY23-25), 10-K FY2023 (FY21-22), 8-K Oct 20, 2026 Ex. 99 (9M, Q3). Statement of Cash Flows: Proceeds from long-term debt; FY2023 includes $10,000M bridge loan proceeds (12,914 + 10,000)</t>
  </si>
  <si>
    <t>Repayment of long-term debt and bridge loan</t>
  </si>
  <si>
    <t>10-K FY2025 (FY23-25), 10-K FY2023 (FY21-22), 8-K Oct 20, 2026 Ex. 99 (9M, Q3). Statement of Cash Flows: Repayment of long-term debt; FY2023 includes $10,000M bridge loan repayment ((578) + (10,000))</t>
  </si>
  <si>
    <t>10-K FY2025 (FY23-25), 10-K FY2023 (FY21-22), 8-K Oct 20, 2026 Ex. 99 (9M, Q3). Statement of Cash Flows: Debt extinguishment costs (FY2021)</t>
  </si>
  <si>
    <t>Change in commercial paper and other short-term borrowings, net</t>
  </si>
  <si>
    <t>10-K FY2025 (FY23-25), 10-K FY2023 (FY21-22), 8-K Oct 20, 2026 Ex. 99 (9M, Q3). Statement of Cash Flows: Change in commercial paper, net plus Change in other short-term borrowings, net (FY21: (160) + 47; FY22: 518 + (29); FY23 other short-term borrowings included in Other financing in 10-K FY2025)</t>
  </si>
  <si>
    <t>Dividends paid on common stock</t>
  </si>
  <si>
    <t>10-K FY2025 (FY23-25), 10-K FY2023 (FY21-22), 8-K Oct 20, 2026 Ex. 99 (9M, Q3). Statement of Cash Flows: Dividends paid</t>
  </si>
  <si>
    <t>Repurchase of common stock</t>
  </si>
  <si>
    <t>10-K FY2025 (FY23-25), 10-K FY2023 (FY21-22), 8-K Oct 20, 2026 Ex. 99 (9M, Q3). Statement of Cash Flows: Repurchase of common stock</t>
  </si>
  <si>
    <t>Other financing activities, net</t>
  </si>
  <si>
    <t>10-K FY2025 (FY23-25), 10-K FY2023 (FY21-22), 8-K Oct 20, 2026 Ex. 99 (9M, Q3). Statement of Cash Flows: Other financing activities, net (FY21 includes (71) net transfers to discontinued operations)</t>
  </si>
  <si>
    <t>Net cash from financing activities</t>
  </si>
  <si>
    <t>Effect of foreign exchange rate changes</t>
  </si>
  <si>
    <t>10-K FY2025 (FY23-25), 10-K FY2023 (FY21-22), 8-K Oct 20, 2026 Ex. 99 (9M, Q3). Statement of Cash Flows: Effect of foreign exchange rate changes on cash</t>
  </si>
  <si>
    <t>Net change in cash, equivalents and restricted cash</t>
  </si>
  <si>
    <t>Cash, equivalents and restricted cash, beginning</t>
  </si>
  <si>
    <t>10-K FY2025 (FY23-25), 10-K FY2023 (FY21-22), 8-K Oct 20, 2026 Ex. 99 (9M, Q3). Statement of Cash Flows: Cash, cash equivalents and restricted cash, beginning of period (LTM = Sep 30, 2025)</t>
  </si>
  <si>
    <t>Cash, equivalents and restricted cash, ending</t>
  </si>
  <si>
    <t>Less: restricted cash</t>
  </si>
  <si>
    <t>10-K FY2025 (FY23-25), 10-K FY2023 (FY21-22), 8-K Oct 20, 2026 Ex. 99 (9M, Q3). Statement of Cash Flows: Restricted cash, included in Other assets</t>
  </si>
  <si>
    <t>Cash and cash equivalents, ending</t>
  </si>
  <si>
    <t>Calculated; ties to balance sheet cash</t>
  </si>
  <si>
    <t>Free cash flow (operating cash flow less capex)</t>
  </si>
  <si>
    <t>Calculated; company definition (CFO less capital expenditures)</t>
  </si>
  <si>
    <t>Key ratios (calculated)</t>
  </si>
  <si>
    <t>Receivable days (DSO, on net sales)</t>
  </si>
  <si>
    <t>Accounts receivable / net sales x 365 (LTM column: Sep-26 balance / LTM sales)</t>
  </si>
  <si>
    <t>Inventory days (DIO, on cost of sales)</t>
  </si>
  <si>
    <t>Inventory / cost of sales x 365</t>
  </si>
  <si>
    <t>Payable days (DPO, on cost of sales)</t>
  </si>
  <si>
    <t>Accounts payable / cost of sales x 365</t>
  </si>
  <si>
    <t>Other non-current assets, % of net sales</t>
  </si>
  <si>
    <t>Total D&amp;A, % of net sales</t>
  </si>
  <si>
    <t>Operating D&amp;A (segment + corporate), % of net sales</t>
  </si>
  <si>
    <t>Calculated from segment D&amp;A table (excludes acquisition accounting D&amp;A)</t>
  </si>
  <si>
    <t>Dividends paid per basic share ($)</t>
  </si>
  <si>
    <t>Dividends paid / weighted average basic shares (cash-paid basis)</t>
  </si>
  <si>
    <t>ROIC (operating profit after tax / invested capital incl. goodwill)</t>
  </si>
  <si>
    <t>Invested capital = total equity + redeemable NCI + total debt less cash, year-end</t>
  </si>
  <si>
    <t>ROIC excl. goodwill and intangibles</t>
  </si>
  <si>
    <t>As above, excluding goodwill and intangible assets from invested capital</t>
  </si>
  <si>
    <t>Total debt / EBITDA</t>
  </si>
  <si>
    <t>Net debt / EBITDA</t>
  </si>
  <si>
    <t>Cash, % of net sales</t>
  </si>
  <si>
    <t>Pension and postretirement funded status, Dec 31, 2025</t>
  </si>
  <si>
    <t>Pension benefit obligation</t>
  </si>
  <si>
    <t>10-K FY2025, Employee benefit plans note, funded status (R76): pension benefit obligation</t>
  </si>
  <si>
    <t>Pension plan assets at fair value</t>
  </si>
  <si>
    <t>Same: fair value of plan assets</t>
  </si>
  <si>
    <t>Pension funded status (surplus)</t>
  </si>
  <si>
    <t>Calculated: +660 net surplus</t>
  </si>
  <si>
    <t>Postretirement benefit obligation</t>
  </si>
  <si>
    <t>Same: postretirement benefit obligation</t>
  </si>
  <si>
    <t>Postretirement plan assets at fair value</t>
  </si>
  <si>
    <t>Postretirement funded status (deficit)</t>
  </si>
  <si>
    <t>Calculated: (560)</t>
  </si>
  <si>
    <t>Net pension and postretirement position</t>
  </si>
  <si>
    <t>Calculated: +100 net; used in the DCF and sum-of-parts equity bridge (adds to value)</t>
  </si>
  <si>
    <t>RTX Corporation (NYSE: RTX) | Projections: income statement, balance sheet, cash flow</t>
  </si>
  <si>
    <t>$ billions unless stated (stored in $ millions); per-share in $; shares in millions. All projection cells are formulas driven by Assumptions and Historical.</t>
  </si>
  <si>
    <t>Fiscal year</t>
  </si>
  <si>
    <t>Revenue build</t>
  </si>
  <si>
    <t>Collins Aerospace (FY2025A split estimated; see Assumptions)</t>
  </si>
  <si>
    <t xml:space="preserve">   Commercial OE</t>
  </si>
  <si>
    <t>Prior year x (1 + OE growth)</t>
  </si>
  <si>
    <t xml:space="preserve">   Commercial aftermarket</t>
  </si>
  <si>
    <t>Prior year x (1 + aftermarket growth)</t>
  </si>
  <si>
    <t xml:space="preserve">   Defense</t>
  </si>
  <si>
    <t>Prior year x (1 + defense growth)</t>
  </si>
  <si>
    <t>Collins Aerospace sales</t>
  </si>
  <si>
    <t>Sum</t>
  </si>
  <si>
    <t>Pratt &amp; Whitney (FY2025A split estimated; see Assumptions)</t>
  </si>
  <si>
    <t xml:space="preserve">   Military</t>
  </si>
  <si>
    <t>Prior year x (1 + military growth)</t>
  </si>
  <si>
    <t>Pratt &amp; Whitney sales</t>
  </si>
  <si>
    <t>Raytheon sales</t>
  </si>
  <si>
    <t>Prior year x (1 + Raytheon growth)</t>
  </si>
  <si>
    <t>Total segment sales x eliminations %</t>
  </si>
  <si>
    <t>FY2025A ties to Historical</t>
  </si>
  <si>
    <t xml:space="preserve">   Net sales growth</t>
  </si>
  <si>
    <t xml:space="preserve">   Memo: commercial aftermarket sales (Collins + Pratt)</t>
  </si>
  <si>
    <t>Second sensitivity driver base</t>
  </si>
  <si>
    <t>Segment operating profit</t>
  </si>
  <si>
    <t>Sales x segment margin</t>
  </si>
  <si>
    <t>Net sales x %</t>
  </si>
  <si>
    <t xml:space="preserve">   Corporate expenses and unallocated</t>
  </si>
  <si>
    <t>Raytheon sales x %</t>
  </si>
  <si>
    <t>Assumptions amortization schedule</t>
  </si>
  <si>
    <t>Operating profit (EBIT)</t>
  </si>
  <si>
    <t xml:space="preserve">   Collins margin</t>
  </si>
  <si>
    <t xml:space="preserve">   Pratt &amp; Whitney margin</t>
  </si>
  <si>
    <t xml:space="preserve">   Raytheon margin</t>
  </si>
  <si>
    <t>Cost of sales</t>
  </si>
  <si>
    <t>Derived: net sales less R&amp;D, SG&amp;A, plus other income, less operating profit</t>
  </si>
  <si>
    <t>Derived output</t>
  </si>
  <si>
    <t>Other income, net</t>
  </si>
  <si>
    <t>Ties to segment build</t>
  </si>
  <si>
    <t>Rate x opening debt and revolver (no circularity)</t>
  </si>
  <si>
    <t>Pre-tax income x effective tax rate</t>
  </si>
  <si>
    <t>Net income</t>
  </si>
  <si>
    <t>Net income x %</t>
  </si>
  <si>
    <t>Diluted shares, average (millions)</t>
  </si>
  <si>
    <t>Average of beginning and ending</t>
  </si>
  <si>
    <t xml:space="preserve">   EPS growth</t>
  </si>
  <si>
    <t>Operating D&amp;A</t>
  </si>
  <si>
    <t>Acquisition amortization</t>
  </si>
  <si>
    <t>Total D&amp;A</t>
  </si>
  <si>
    <t>EBITDA</t>
  </si>
  <si>
    <t>Operating profit + D&amp;A</t>
  </si>
  <si>
    <t>Share count</t>
  </si>
  <si>
    <t>Diluted shares, beginning</t>
  </si>
  <si>
    <t>FY2025A weighted diluted shares as opening</t>
  </si>
  <si>
    <t xml:space="preserve">   Plus: issuance for equity compensation</t>
  </si>
  <si>
    <t>Beginning x issuance %</t>
  </si>
  <si>
    <t xml:space="preserve">   Less: shares repurchased</t>
  </si>
  <si>
    <t>Buybacks / assumed repurchase price</t>
  </si>
  <si>
    <t>Diluted shares, ending</t>
  </si>
  <si>
    <t>From cash sweep below</t>
  </si>
  <si>
    <t>Accounts receivable</t>
  </si>
  <si>
    <t>Net sales x DSO / 365</t>
  </si>
  <si>
    <t>Contract assets</t>
  </si>
  <si>
    <t>Inventory</t>
  </si>
  <si>
    <t>Cost of sales x DIO / 365</t>
  </si>
  <si>
    <t>Other current assets</t>
  </si>
  <si>
    <t>Prior + capex - operating D&amp;A</t>
  </si>
  <si>
    <t>Held (policy: no M&amp;A or impairment)</t>
  </si>
  <si>
    <t>Prior + additions - amortization</t>
  </si>
  <si>
    <t>Pension surplus accrual (non-service pension income)</t>
  </si>
  <si>
    <t>Cumulative non-cash pension income (policy)</t>
  </si>
  <si>
    <t>Total debt</t>
  </si>
  <si>
    <t>EBITDA x debt / EBITDA target</t>
  </si>
  <si>
    <t>Revolver</t>
  </si>
  <si>
    <t>Draws only if cash would fall below the minimum</t>
  </si>
  <si>
    <t>Cost of sales x DPO / 365</t>
  </si>
  <si>
    <t>Accrued compensation and other accrued liabilities</t>
  </si>
  <si>
    <t>Pension and postretirement obligations</t>
  </si>
  <si>
    <t>Held (policy)</t>
  </si>
  <si>
    <t>Prior + share-settled compensation</t>
  </si>
  <si>
    <t>Prior - buybacks</t>
  </si>
  <si>
    <t>Prior + net income - dividends</t>
  </si>
  <si>
    <t>Prior + NCI earnings - distributions</t>
  </si>
  <si>
    <t>Total liabilities and equity</t>
  </si>
  <si>
    <t xml:space="preserve">   Balance check (assets less liabilities and equity)</t>
  </si>
  <si>
    <t>Net income (incl. noncontrolling interest)</t>
  </si>
  <si>
    <t>Share-settled compensation (non-cash)</t>
  </si>
  <si>
    <t>Less: non-service pension income (non-cash)</t>
  </si>
  <si>
    <t>Change in customer financing assets</t>
  </si>
  <si>
    <t>Change in accounts payable</t>
  </si>
  <si>
    <t>Change in accrued liabilities</t>
  </si>
  <si>
    <t>Change in other operating assets and liabilities</t>
  </si>
  <si>
    <t>Other LT liabilities, leases, other assets</t>
  </si>
  <si>
    <t>Cash from operating activities</t>
  </si>
  <si>
    <t>Net sales x %; 2035E normalized so net reinvestment = NOPAT x g / ROIC</t>
  </si>
  <si>
    <t>Additions to other intangible assets</t>
  </si>
  <si>
    <t>Cash from investing activities</t>
  </si>
  <si>
    <t>Debt issuance (repayment)</t>
  </si>
  <si>
    <t>Revolver draw (repayment)</t>
  </si>
  <si>
    <t>Dividends paid</t>
  </si>
  <si>
    <t>DPS x beginning diluted shares</t>
  </si>
  <si>
    <t>Distributions to noncontrolling interests</t>
  </si>
  <si>
    <t>Share repurchases</t>
  </si>
  <si>
    <t>From cash sweep</t>
  </si>
  <si>
    <t>Cash from financing activities</t>
  </si>
  <si>
    <t>Net change in cash</t>
  </si>
  <si>
    <t>Cash, beginning of year</t>
  </si>
  <si>
    <t>Cash, end of year</t>
  </si>
  <si>
    <t xml:space="preserve">   Cash tie-out (balance sheet less cash flow)</t>
  </si>
  <si>
    <t>Cash sweep (minimum cash, revolver, buybacks)</t>
  </si>
  <si>
    <t>Cash before revolver and buybacks</t>
  </si>
  <si>
    <t>Opening cash + operating and investing flows + debt change - dividends - NCI distributions - repay opening revolver</t>
  </si>
  <si>
    <t>Minimum cash balance</t>
  </si>
  <si>
    <t>Net sales x minimum cash %</t>
  </si>
  <si>
    <t>Revolver balance, end of year</t>
  </si>
  <si>
    <t>Shortfall funded by revolver</t>
  </si>
  <si>
    <t>Excess cash x buyback share</t>
  </si>
  <si>
    <t>Unlevered free cash flow build (feeds DCF)</t>
  </si>
  <si>
    <t>NOPAT (operating profit x (1 - effective tax rate))</t>
  </si>
  <si>
    <t>Effective tax rate per approved build note</t>
  </si>
  <si>
    <t>Investment in net working capital and other operating items</t>
  </si>
  <si>
    <t>Increase = cash outflow</t>
  </si>
  <si>
    <t>Capital expenditures incl. intangible additions</t>
  </si>
  <si>
    <t>Unlevered free cash flow</t>
  </si>
  <si>
    <t>NOPAT + D&amp;A - capex - change in NWC</t>
  </si>
  <si>
    <t>Net reinvestment (capex - D&amp;A + change in NWC)</t>
  </si>
  <si>
    <t>Reinvestment rate (net reinvestment / NOPAT)</t>
  </si>
  <si>
    <t>Terminal check: NOPAT x g / ROIC (2035E)</t>
  </si>
  <si>
    <t>Must equal net reinvestment in 2035E</t>
  </si>
  <si>
    <t>2035E is the normalized level used to fade 2031-34 on Assumptions</t>
  </si>
  <si>
    <t>RTX Corporation (NYSE: RTX) | Beta data: 5-year monthly regression against the S&amp;P 500</t>
  </si>
  <si>
    <t>Prices in $ (RTX dividend-adjusted close) and index points; returns are simple monthly returns. Window: 60 monthly returns, October 2021 to September 2026.</t>
  </si>
  <si>
    <t>Month end</t>
  </si>
  <si>
    <t>RTX adj. close ($)</t>
  </si>
  <si>
    <t>S&amp;P 500 close</t>
  </si>
  <si>
    <t>RTX return</t>
  </si>
  <si>
    <t>S&amp;P 500 return</t>
  </si>
  <si>
    <t>Regression statistics (OLS, RTX on S&amp;P 500)</t>
  </si>
  <si>
    <t>Raw beta (slope)</t>
  </si>
  <si>
    <t>SLOPE of RTX returns on S&amp;P 500 returns</t>
  </si>
  <si>
    <t>Alpha (monthly intercept)</t>
  </si>
  <si>
    <t>INTERCEPT</t>
  </si>
  <si>
    <t>R-squared</t>
  </si>
  <si>
    <t>RSQ</t>
  </si>
  <si>
    <t>Observations</t>
  </si>
  <si>
    <t>Monthly returns</t>
  </si>
  <si>
    <t>Standard error of beta</t>
  </si>
  <si>
    <t>STEYX / SQRT(DEVSQ(market returns))</t>
  </si>
  <si>
    <t>t-statistic</t>
  </si>
  <si>
    <t>Beta / standard error</t>
  </si>
  <si>
    <t>Blume weight on raw beta</t>
  </si>
  <si>
    <t>Point Alpha standard</t>
  </si>
  <si>
    <t>Blume weight on market beta of 1.0</t>
  </si>
  <si>
    <t>Market beta</t>
  </si>
  <si>
    <t>By definition</t>
  </si>
  <si>
    <t>Blume adjusted beta</t>
  </si>
  <si>
    <t>Adjusted beta = 0.67 x raw beta + 0.33 x 1.0</t>
  </si>
  <si>
    <t>R-squared threshold for a meaningful regression</t>
  </si>
  <si>
    <t>Regression meaningful?</t>
  </si>
  <si>
    <t>Trailing 12-month price range (for the football field)</t>
  </si>
  <si>
    <t>Low: month-end adj. close, Oct 2025 to Sep 2026, and mark</t>
  </si>
  <si>
    <t>Daily 52-week high and low n/d in data pack; range uses month-end adjusted closes plus the October 21, 2026 close</t>
  </si>
  <si>
    <t>High: month-end adj. close, Oct 2025 to Sep 2026, and mark</t>
  </si>
  <si>
    <t>Data pack cross-check (computed by provider)</t>
  </si>
  <si>
    <t>Raw beta per data pack</t>
  </si>
  <si>
    <t>Point Alpha research data pack: OLS raw beta 0.3153, alpha 1.372%/mo, SE 0.198, R2 0.042, n = 60</t>
  </si>
  <si>
    <t>Difference vs workbook regression</t>
  </si>
  <si>
    <t>RTX Corporation (NYSE: RTX) | Weighted average cost of capital</t>
  </si>
  <si>
    <t>Percent unless stated; $ billions (stored in $ millions); prices in $</t>
  </si>
  <si>
    <t>Market value inputs</t>
  </si>
  <si>
    <t>Model date</t>
  </si>
  <si>
    <t>Point Alpha model date</t>
  </si>
  <si>
    <t>Mark price ($, October 21, 2026 close)</t>
  </si>
  <si>
    <t>StockAnalysis daily history, https://stockanalysis.com/stocks/rtx/history/ (Point Alpha research data pack)</t>
  </si>
  <si>
    <t>Q3 2026 weighted average diluted shares, 8-K Oct 20, 2026 Ex. 99</t>
  </si>
  <si>
    <t>Market capitalization</t>
  </si>
  <si>
    <t>Mark price x diluted shares</t>
  </si>
  <si>
    <t>Total debt (Sep 30, 2026)</t>
  </si>
  <si>
    <t>Short-term borrowings + long-term debt currently due + long-term debt (Historical)</t>
  </si>
  <si>
    <t>Cash and cash equivalents (Sep 30, 2026)</t>
  </si>
  <si>
    <t>Debt / equity (market)</t>
  </si>
  <si>
    <t>Equity weight E / (D + E)</t>
  </si>
  <si>
    <t>Debt weight D / (D + E)</t>
  </si>
  <si>
    <t>Cost of equity</t>
  </si>
  <si>
    <t>Risk-free rate</t>
  </si>
  <si>
    <t>U.S. 10-year Treasury par yield, October 21, 2026, Treasury.gov (Point Alpha standard input)</t>
  </si>
  <si>
    <t>Equity risk premium</t>
  </si>
  <si>
    <t>Damodaran implied ERP over the 10-year Treasury, start of October 2026, https://aswathdamodaran.substack.com/p/earnings-cashflows-and-stock-prices (Point Alpha standard; not substituted)</t>
  </si>
  <si>
    <t>Regression raw beta (5-year monthly vs S&amp;P 500)</t>
  </si>
  <si>
    <t>Beta Data tab: 60 simple monthly returns, Oct 2021 to Sep 2026; RTX from Yahoo Finance, S&amp;P 500 (^GSPC)</t>
  </si>
  <si>
    <t>Regression R-squared</t>
  </si>
  <si>
    <t>Beta Data tab</t>
  </si>
  <si>
    <t>Blume adjusted beta (shown, not used)</t>
  </si>
  <si>
    <t>Adjusted beta = 0.67 x raw beta + 0.33 x 1.0 (Beta Data tab)</t>
  </si>
  <si>
    <t>R-squared below 0.10 means the regression explains under 10% of return variance; it is shown but not used</t>
  </si>
  <si>
    <t>Unlevered beta, Aerospace/Defense (corrected for cash)</t>
  </si>
  <si>
    <t>Damodaran, Betas by Sector (US), January 2026, pages.stern.nyu.edu/~adamodar/New_Home_Page/datafile/Betas.html</t>
  </si>
  <si>
    <t>Marginal tax rate for relevering</t>
  </si>
  <si>
    <t>U.S. federal statutory rate (approved build note: 21% for relevering and after-tax cost of debt)</t>
  </si>
  <si>
    <t>Bottom-up levered beta</t>
  </si>
  <si>
    <t>Levered beta = unlevered beta x (1 + (1 - t) x D/E); no Blume adjustment applied to a bottom-up beta</t>
  </si>
  <si>
    <t>Beta used in WACC</t>
  </si>
  <si>
    <t>Uses the bottom-up beta because the regression R-squared is below 0.10</t>
  </si>
  <si>
    <t>Cost of equity (CAPM)</t>
  </si>
  <si>
    <t>Cost of equity = risk-free rate + beta x equity risk premium</t>
  </si>
  <si>
    <t>Cost of debt</t>
  </si>
  <si>
    <t>Interest expense, net: Q4 2025</t>
  </si>
  <si>
    <t>FY2025 less 9M 2025 (Historical)</t>
  </si>
  <si>
    <t>Interest expense, net: Q1 2026</t>
  </si>
  <si>
    <t>8-K Apr 21, 2026 Ex. 99, Statement of Operations, Interest expense, net, https://www.sec.gov/Archives/edgar/data/0000101829/000010182926000009/a2026-04x218xkerexhibit99.htm (Point Alpha research data pack)</t>
  </si>
  <si>
    <t>Interest expense, net: Q2 2026</t>
  </si>
  <si>
    <t>8-K Jul 23, 2026 Ex. 99, Statement of Operations, Interest expense, net, https://www.sec.gov/Archives/edgar/data/0000101829/000010182926000025/a2026-07x238xkerexhibit99.htm (Point Alpha research data pack)</t>
  </si>
  <si>
    <t>Interest expense, net: Q3 2026</t>
  </si>
  <si>
    <t>Historical (8-K Oct 20, 2026 Ex. 99)</t>
  </si>
  <si>
    <t>LTM interest expense, net</t>
  </si>
  <si>
    <t>Q4 2025 to Q3 2026</t>
  </si>
  <si>
    <t>Total debt: Sep 30, 2025</t>
  </si>
  <si>
    <t>8-K Oct 21, 2025 Ex. 99, Balance Sheet: 215 + 584 + 38,260, https://www.sec.gov/Archives/edgar/data/0000101829/000010182925000040/a2025-10x218xkerexhibit99.htm (Point Alpha research data pack)</t>
  </si>
  <si>
    <t>Total debt: Dec 31, 2025</t>
  </si>
  <si>
    <t>Historical (10-K FY2025)</t>
  </si>
  <si>
    <t>Total debt: Mar 31, 2026</t>
  </si>
  <si>
    <t>8-K Apr 21, 2026 Ex. 99, Balance Sheet: 226 + 4,213 + 32,974 (Point Alpha research data pack)</t>
  </si>
  <si>
    <t>Total debt: Jun 30, 2026</t>
  </si>
  <si>
    <t>8-K Jul 23, 2026 Ex. 99, Balance Sheet: 229 + 5,296 + 31,858 (Point Alpha research data pack)</t>
  </si>
  <si>
    <t>Total debt: Sep 30, 2026</t>
  </si>
  <si>
    <t>Average debt (5 quarter-ends)</t>
  </si>
  <si>
    <t>Pre-tax cost of debt</t>
  </si>
  <si>
    <t>Net interest expense over average debt (stated method); data pack: 4.20%</t>
  </si>
  <si>
    <t>After-tax cost of debt</t>
  </si>
  <si>
    <t>Pre-tax cost of debt x (1 - 21%)</t>
  </si>
  <si>
    <t>Weighted average cost of capital</t>
  </si>
  <si>
    <t>Equity weight x cost of equity</t>
  </si>
  <si>
    <t>Debt weight x after-tax cost of debt</t>
  </si>
  <si>
    <t>WACC = E/V x Ke + D/V x Kd x (1 - t)</t>
  </si>
  <si>
    <t>RTX Corporation (NYSE: RTX) | Discounted cash flow valuation</t>
  </si>
  <si>
    <t>$ billions unless stated (stored in $ millions); per-share in $. Valuation date October 22, 2026; net debt at September 30, 2026.</t>
  </si>
  <si>
    <t>Note</t>
  </si>
  <si>
    <t>Assumptions (effective rate per approved build note)</t>
  </si>
  <si>
    <t>NOPAT = EBIT x (1 - tax rate)</t>
  </si>
  <si>
    <t>Plus: depreciation and amortization</t>
  </si>
  <si>
    <t>Less: capital expenditures incl. intangible additions</t>
  </si>
  <si>
    <t>Projections; 2035E normalized</t>
  </si>
  <si>
    <t>Less: increase in net working capital</t>
  </si>
  <si>
    <t>EBIT x (1 - t) + D&amp;A - capex - change in NWC</t>
  </si>
  <si>
    <t>Share of year included (2026E: Q4 only)</t>
  </si>
  <si>
    <t>Cash flows before Sep 30, 2026 are already in reported net debt</t>
  </si>
  <si>
    <t>Cash flow valued</t>
  </si>
  <si>
    <t>Discount period (years from valuation date)</t>
  </si>
  <si>
    <t>End-of-period convention from October 22, 2026</t>
  </si>
  <si>
    <t>Discount factor = 1 / (1 + WACC) ^ period</t>
  </si>
  <si>
    <t>Present value</t>
  </si>
  <si>
    <t>Terminal value (Gordon growth)</t>
  </si>
  <si>
    <t>Terminal growth rate (g)</t>
  </si>
  <si>
    <t>Check: g below WACC</t>
  </si>
  <si>
    <t>Must be TRUE</t>
  </si>
  <si>
    <t>Return on new invested capital (terminal)</t>
  </si>
  <si>
    <t>NOPAT, 2035E</t>
  </si>
  <si>
    <t>Net reinvestment, 2035E (capex - D&amp;A + change in NWC)</t>
  </si>
  <si>
    <t>Normalized on Projections</t>
  </si>
  <si>
    <t>Target: NOPAT x g / ROIC</t>
  </si>
  <si>
    <t>Terminal normalization</t>
  </si>
  <si>
    <t>Check: normalization holds</t>
  </si>
  <si>
    <t>UFCF, 2035E (final forecast year)</t>
  </si>
  <si>
    <t>Terminal value = UFCF x (1 + g) / (WACC - g)</t>
  </si>
  <si>
    <t>Value at end of 2035E</t>
  </si>
  <si>
    <t>Present value of terminal value</t>
  </si>
  <si>
    <t>Discounted with the 2035E factor</t>
  </si>
  <si>
    <t>Implied terminal EV / 2035E EBITDA</t>
  </si>
  <si>
    <t>Cross-check</t>
  </si>
  <si>
    <t>Enterprise value to equity value</t>
  </si>
  <si>
    <t>Sum of PV of free cash flows</t>
  </si>
  <si>
    <t>PV of terminal value</t>
  </si>
  <si>
    <t>Enterprise value</t>
  </si>
  <si>
    <t>Terminal value, % of enterprise value</t>
  </si>
  <si>
    <t>Less: total debt (Sep 30, 2026)</t>
  </si>
  <si>
    <t>WACC tab (Historical)</t>
  </si>
  <si>
    <t>Plus: cash and cash equivalents (Sep 30, 2026)</t>
  </si>
  <si>
    <t>Less: noncontrolling interest incl. redeemable (book, Sep 30, 2026)</t>
  </si>
  <si>
    <t>Historical balance sheet</t>
  </si>
  <si>
    <t>Less: preferred stock</t>
  </si>
  <si>
    <t>None issued or outstanding (10-K FY2025 balance sheet)</t>
  </si>
  <si>
    <t>Plus: net pension and postretirement position (Dec 31, 2025)</t>
  </si>
  <si>
    <t>Pension surplus +660 less postretirement deficit (560) = +100; non-service pension income is excluded from UFCF</t>
  </si>
  <si>
    <t>Total equity bridge adjustments</t>
  </si>
  <si>
    <t>Equity value</t>
  </si>
  <si>
    <t>Q3 2026 weighted average diluted</t>
  </si>
  <si>
    <t>DCF value per share ($)</t>
  </si>
  <si>
    <t>Upside / (downside) to mark</t>
  </si>
  <si>
    <t>Implied EV / 2026E EBITDA</t>
  </si>
  <si>
    <t>Implied EV / 2027E EBITDA</t>
  </si>
  <si>
    <t>Implied P/E on 2027E GAAP EPS</t>
  </si>
  <si>
    <t>RTX Corporation (NYSE: RTX) | Sensitivity analysis</t>
  </si>
  <si>
    <t>DCF value per share in $. Both tables are live formulas: each cell recomputes value from the DCF cash flows (Table 1) or from a full scenario rebuild in the engine below (Table 2).</t>
  </si>
  <si>
    <t>Table 1: DCF value per share ($), WACC (rows) vs terminal growth (columns)</t>
  </si>
  <si>
    <t>Check: base cell equals DCF value per share</t>
  </si>
  <si>
    <t>Table 2: DCF value per share ($), commercial aftermarket growth (rows) vs Raytheon segment margin (columns)</t>
  </si>
  <si>
    <t>Raytheon segment operating margin, all forecast years</t>
  </si>
  <si>
    <t>Pratt aftermarket growth 2026E</t>
  </si>
  <si>
    <t>Rows shift every Collins and Pratt commercial aftermarket growth rate in 2026E-2030E by the same points (shown via Pratt 2026E); the shift fades to zero by 2035E with the growth fade. Columns set the Raytheon margin in every forecast year.</t>
  </si>
  <si>
    <t>Scenario engine for Table 2 (each block rebuilds UFCF for one cell; deltas versus the base case on Projections)</t>
  </si>
  <si>
    <t>Aftermarket shift weight (1.0 in years 1-5, fading to 0 by 2035E)</t>
  </si>
  <si>
    <t>Capex fade weight (0 in years 1-5, rising to 1.0 by 2035E)</t>
  </si>
  <si>
    <t>Scenario: aftermarket row 1, Raytheon margin column 1 (B = aftermarket shift, C = margin shift)</t>
  </si>
  <si>
    <t>Collins aftermarket sales</t>
  </si>
  <si>
    <t>Pratt aftermarket sales</t>
  </si>
  <si>
    <t>Change in segment sales</t>
  </si>
  <si>
    <t>Change in net sales</t>
  </si>
  <si>
    <t>Change in operating profit</t>
  </si>
  <si>
    <t>Change in cost of sales</t>
  </si>
  <si>
    <t>Change in NWC level</t>
  </si>
  <si>
    <t>Change in NWC investment</t>
  </si>
  <si>
    <t>Change in NOPAT</t>
  </si>
  <si>
    <t>Change in D&amp;A</t>
  </si>
  <si>
    <t>Change in intangible additions</t>
  </si>
  <si>
    <t>Capex, % of net sales (scenario)</t>
  </si>
  <si>
    <t>Unlevered free cash flow (scenario)</t>
  </si>
  <si>
    <t>Scenario: aftermarket row 1, Raytheon margin column 2 (B = aftermarket shift, C = margin shift)</t>
  </si>
  <si>
    <t>Scenario: aftermarket row 1, Raytheon margin column 3 (B = aftermarket shift, C = margin shift)</t>
  </si>
  <si>
    <t>Scenario: aftermarket row 1, Raytheon margin column 4 (B = aftermarket shift, C = margin shift)</t>
  </si>
  <si>
    <t>Scenario: aftermarket row 1, Raytheon margin column 5 (B = aftermarket shift, C = margin shift)</t>
  </si>
  <si>
    <t>Scenario: aftermarket row 2, Raytheon margin column 1 (B = aftermarket shift, C = margin shift)</t>
  </si>
  <si>
    <t>Scenario: aftermarket row 2, Raytheon margin column 2 (B = aftermarket shift, C = margin shift)</t>
  </si>
  <si>
    <t>Scenario: aftermarket row 2, Raytheon margin column 3 (B = aftermarket shift, C = margin shift)</t>
  </si>
  <si>
    <t>Scenario: aftermarket row 2, Raytheon margin column 4 (B = aftermarket shift, C = margin shift)</t>
  </si>
  <si>
    <t>Scenario: aftermarket row 2, Raytheon margin column 5 (B = aftermarket shift, C = margin shift)</t>
  </si>
  <si>
    <t>Scenario: aftermarket row 3, Raytheon margin column 1 (B = aftermarket shift, C = margin shift)</t>
  </si>
  <si>
    <t>Scenario: aftermarket row 3, Raytheon margin column 2 (B = aftermarket shift, C = margin shift)</t>
  </si>
  <si>
    <t>Scenario: aftermarket row 3, Raytheon margin column 3 (B = aftermarket shift, C = margin shift)</t>
  </si>
  <si>
    <t>Scenario: aftermarket row 3, Raytheon margin column 4 (B = aftermarket shift, C = margin shift)</t>
  </si>
  <si>
    <t>Scenario: aftermarket row 3, Raytheon margin column 5 (B = aftermarket shift, C = margin shift)</t>
  </si>
  <si>
    <t>Scenario: aftermarket row 4, Raytheon margin column 1 (B = aftermarket shift, C = margin shift)</t>
  </si>
  <si>
    <t>Scenario: aftermarket row 4, Raytheon margin column 2 (B = aftermarket shift, C = margin shift)</t>
  </si>
  <si>
    <t>Scenario: aftermarket row 4, Raytheon margin column 3 (B = aftermarket shift, C = margin shift)</t>
  </si>
  <si>
    <t>Scenario: aftermarket row 4, Raytheon margin column 4 (B = aftermarket shift, C = margin shift)</t>
  </si>
  <si>
    <t>Scenario: aftermarket row 4, Raytheon margin column 5 (B = aftermarket shift, C = margin shift)</t>
  </si>
  <si>
    <t>Scenario: aftermarket row 5, Raytheon margin column 1 (B = aftermarket shift, C = margin shift)</t>
  </si>
  <si>
    <t>Scenario: aftermarket row 5, Raytheon margin column 2 (B = aftermarket shift, C = margin shift)</t>
  </si>
  <si>
    <t>Scenario: aftermarket row 5, Raytheon margin column 3 (B = aftermarket shift, C = margin shift)</t>
  </si>
  <si>
    <t>Scenario: aftermarket row 5, Raytheon margin column 4 (B = aftermarket shift, C = margin shift)</t>
  </si>
  <si>
    <t>Scenario: aftermarket row 5, Raytheon margin column 5 (B = aftermarket shift, C = margin shift)</t>
  </si>
  <si>
    <t>RTX Corporation (RTX): Sum-of-Parts</t>
  </si>
  <si>
    <t>$ millions unless stated; multiples in x; per-share in $. Collins and Pratt &amp; Whitney at commercial aerospace EV/NTM EBITDA; Raytheon at defense prime EV/NTM EBITDA.</t>
  </si>
  <si>
    <t>Peer trading multiples (USD; prices October 21, 2026 close)</t>
  </si>
  <si>
    <t>Company</t>
  </si>
  <si>
    <t>Ticker</t>
  </si>
  <si>
    <t>Price (local)</t>
  </si>
  <si>
    <t>Market cap ($M)</t>
  </si>
  <si>
    <t>EV ($M)</t>
  </si>
  <si>
    <t>EV / NTM EBITDA</t>
  </si>
  <si>
    <t>NTM P/E</t>
  </si>
  <si>
    <t>EV / NTM sales</t>
  </si>
  <si>
    <t>Revenue growth (NTM)</t>
  </si>
  <si>
    <t>LTM gross margin</t>
  </si>
  <si>
    <t>LTM operating margin</t>
  </si>
  <si>
    <t>Commercial aerospace (Collins, Pratt &amp; Whitney)</t>
  </si>
  <si>
    <t>Median</t>
  </si>
  <si>
    <t>Mean</t>
  </si>
  <si>
    <t>25th percentile</t>
  </si>
  <si>
    <t>75th percentile</t>
  </si>
  <si>
    <t>Defense primes (Raytheon)</t>
  </si>
  <si>
    <t>RTX segment EBITDA, next twelve months from model date</t>
  </si>
  <si>
    <t>Item</t>
  </si>
  <si>
    <t>FY2025A D&amp;A % of sales</t>
  </si>
  <si>
    <t>NTM</t>
  </si>
  <si>
    <t>Calendar weight</t>
  </si>
  <si>
    <t>Share of 2026E remaining after Oct 22, 2026 (Assumptions); NTM = weight x 2026E + (1 - weight) x 2027E</t>
  </si>
  <si>
    <t>Projections segment sales</t>
  </si>
  <si>
    <t>Collins Aerospace operating profit</t>
  </si>
  <si>
    <t>Projections segment operating profit (excludes acquisition accounting and FAS/CAS)</t>
  </si>
  <si>
    <t>Collins Aerospace D&amp;A</t>
  </si>
  <si>
    <t>Segment D&amp;A held at FY2025A % of segment sales (10-K FY2025 segment note)</t>
  </si>
  <si>
    <t>Collins Aerospace EBITDA</t>
  </si>
  <si>
    <t>Pratt &amp; Whitney operating profit</t>
  </si>
  <si>
    <t>Pratt &amp; Whitney D&amp;A</t>
  </si>
  <si>
    <t>Pratt &amp; Whitney EBITDA</t>
  </si>
  <si>
    <t>Raytheon operating profit</t>
  </si>
  <si>
    <t>Raytheon D&amp;A</t>
  </si>
  <si>
    <t>Raytheon EBITDA</t>
  </si>
  <si>
    <t>Corporate, eliminations and other operating profit</t>
  </si>
  <si>
    <t>Projections eliminations and corporate expense lines</t>
  </si>
  <si>
    <t>Corporate D&amp;A</t>
  </si>
  <si>
    <t>Corporate D&amp;A held at FY2025A % of consolidated sales</t>
  </si>
  <si>
    <t>Corporate, eliminations and other EBITDA</t>
  </si>
  <si>
    <t>Total segment-basis EBITDA</t>
  </si>
  <si>
    <t>Memo: FAS/CAS operating adjustment (excluded)</t>
  </si>
  <si>
    <t>Pension cost-recovery timing item; excluded from EBITDA because the net pension position is in the bridge</t>
  </si>
  <si>
    <t>Memo: consolidated EBITDA (Projections)</t>
  </si>
  <si>
    <t>Includes FAS/CAS and other non-segment items</t>
  </si>
  <si>
    <t>Sum-of-parts valuation</t>
  </si>
  <si>
    <t>NTM EBITDA</t>
  </si>
  <si>
    <t>Multiple: 25th pct</t>
  </si>
  <si>
    <t>Multiple: median</t>
  </si>
  <si>
    <t>Multiple: 75th pct</t>
  </si>
  <si>
    <t>EV at 25th pct</t>
  </si>
  <si>
    <t>EV at median</t>
  </si>
  <si>
    <t>EV at 75th pct</t>
  </si>
  <si>
    <t>Collins Aerospace (commercial aero multiple)</t>
  </si>
  <si>
    <t>Pratt &amp; Whitney (commercial aero multiple)</t>
  </si>
  <si>
    <t>Raytheon (defense prime multiple)</t>
  </si>
  <si>
    <t>Corporate, eliminations and other (EBITDA-weighted multiple)</t>
  </si>
  <si>
    <t>Plus: cash and equivalents (Sep 30, 2026)</t>
  </si>
  <si>
    <t>Less: noncontrolling interest</t>
  </si>
  <si>
    <t>Plus: net pension and postretirement position (surplus)</t>
  </si>
  <si>
    <t>Diluted shares (M)</t>
  </si>
  <si>
    <t>Upside / (downside) vs mark</t>
  </si>
  <si>
    <t>Implied RTX EV / NTM EBITDA</t>
  </si>
  <si>
    <t>Notes</t>
  </si>
  <si>
    <t>1. The base sum-of-parts value uses median peer multiples; the 25th to 75th percentile range feeds the Cover football field.</t>
  </si>
  <si>
    <t>2. Multiples use S&amp;P Global / MarketScreener consensus, week of October 19, 2026 (Peer Data rows 26 to 38): S&amp;P Global revenue and adjusted EPS, MarketScreener EBITDA. NTM = FY1 and FY2 weighted by time remaining in FY1 after the model date.</t>
  </si>
  <si>
    <t>3. Net debt uses total borrowings less cash at September 30, 2026 (RTX Q3 2026 release). The pension and postretirement position is a net surplus of $100 million (FY2025 10-K) and is added.</t>
  </si>
  <si>
    <t>4. Honeywell Aerospace (HONA) replaces Honeywell following the June 29, 2026 spin-off.</t>
  </si>
  <si>
    <t>RTX Corporation (RTX): Peer Data (inputs for Sum-of-Parts)</t>
  </si>
  <si>
    <t>Local currency millions unless stated; shares in millions; prices in local currency. Consensus columns M to P: S&amp;P Global / MarketScreener consensus, week of October 19, 2026 (inputs in rows 26 to 38).</t>
  </si>
  <si>
    <t>Group</t>
  </si>
  <si>
    <t>Ccy</t>
  </si>
  <si>
    <t>Price Oct 21, 2026 (local)</t>
  </si>
  <si>
    <t>FX to USD</t>
  </si>
  <si>
    <t>Debt (local M)</t>
  </si>
  <si>
    <t>Cash + STI (local M)</t>
  </si>
  <si>
    <t>Net debt (local M)</t>
  </si>
  <si>
    <t>FY end</t>
  </si>
  <si>
    <t>NTM EBITDA, consensus (local M)</t>
  </si>
  <si>
    <t>NTM adj. EPS, consensus (local)</t>
  </si>
  <si>
    <t>NTM revenue, consensus (local M)</t>
  </si>
  <si>
    <t>Next-year revenue growth, consensus</t>
  </si>
  <si>
    <t>Source</t>
  </si>
  <si>
    <t>GE Aerospace</t>
  </si>
  <si>
    <t>GE</t>
  </si>
  <si>
    <t>Commercial aero</t>
  </si>
  <si>
    <t>USD</t>
  </si>
  <si>
    <t>Dec</t>
  </si>
  <si>
    <t>Price: StockAnalysis history. Debt (ST 2,335 + LT 16,991) and cash (incl. restricted): GE 10-Q Sep 30, 2026, SEC EDGAR. LTM margins: StockAnalysis quarterly. Via Point Alpha research data pack.</t>
  </si>
  <si>
    <t>Safran</t>
  </si>
  <si>
    <t>SAF</t>
  </si>
  <si>
    <t>EUR</t>
  </si>
  <si>
    <t>Price: StockAnalysis (EPA). Diluted shares: Safran H1 2026 release (AMF). Debt = current LTD 2,239 + LTD 2,868 (StockAnalysis BS lines); cash 6,507 + STI 361. Company definition shows net cash 1,667. LTM = H2'25 + H1'26. Via Point Alpha research data pack.</t>
  </si>
  <si>
    <t>Honeywell Aerospace</t>
  </si>
  <si>
    <t>HONA</t>
  </si>
  <si>
    <t>Spun off from Honeywell Jun 29, 2026. Shares = shares outstanding (no diluted weighted count, pre-spin quarter). Debt and cash: HONA 10-Q Jun 27, 2026, SEC EDGAR. Full LTM margins not available (H1'26 only). Via Point Alpha research data pack.</t>
  </si>
  <si>
    <t>TransDigm</t>
  </si>
  <si>
    <t>TDG</t>
  </si>
  <si>
    <t>Sep</t>
  </si>
  <si>
    <t>Price: StockAnalysis. Debt incl. AR securitization 725: TDG Q3 FY26 release (Aug 4), SEC EDGAR. LTM margins: StockAnalysis quarterly. Via Point Alpha research data pack.</t>
  </si>
  <si>
    <t>HEICO</t>
  </si>
  <si>
    <t>HEI</t>
  </si>
  <si>
    <t>Oct</t>
  </si>
  <si>
    <t>Price: HEI common (HEI.A price not collected; applied to both classes). HEI Q3 FY26 release (Aug 25), SEC EDGAR. LTM margins: StockAnalysis quarterly. Via Point Alpha research data pack.</t>
  </si>
  <si>
    <t>Lockheed Martin</t>
  </si>
  <si>
    <t>LMT</t>
  </si>
  <si>
    <t>Defense prime</t>
  </si>
  <si>
    <t>Price: StockAnalysis. Balance sheet: LMT Q2 2026 release (Jul 23). LTM margins: StockAnalysis quarterly. Via Point Alpha research data pack.</t>
  </si>
  <si>
    <t>Northrop Grumman</t>
  </si>
  <si>
    <t>NOC</t>
  </si>
  <si>
    <t>Price: StockAnalysis. Debt (current LTD 764 + LTD 14,433): NOC Q3 2026 release (Oct 20), SEC EDGAR. LTM margins: StockAnalysis quarterly (company-reported OI differs). Via Point Alpha research data pack.</t>
  </si>
  <si>
    <t>General Dynamics</t>
  </si>
  <si>
    <t>GD</t>
  </si>
  <si>
    <t>Price: StockAnalysis. Debt (1,256 + 6,260): GD Q2 2026 release (Jul 29), SEC EDGAR. Q3 not yet reported at the cutoff. Via Point Alpha research data pack.</t>
  </si>
  <si>
    <t>L3Harris</t>
  </si>
  <si>
    <t>LHX</t>
  </si>
  <si>
    <t>Price: StockAnalysis. Debt (1,815 + 9,184): LHX Q2 2026 release (Jul 29), SEC EDGAR. Q3 not yet reported at the cutoff. Via Point Alpha research data pack.</t>
  </si>
  <si>
    <t>RTX Corporation</t>
  </si>
  <si>
    <t>RTX</t>
  </si>
  <si>
    <t>Subject</t>
  </si>
  <si>
    <t>Links to WACC and Historical tabs (RTX Q3 2026 release, Oct 20, 2026).</t>
  </si>
  <si>
    <t>FX (October 21, 2026)</t>
  </si>
  <si>
    <t>Pair</t>
  </si>
  <si>
    <t>Rate</t>
  </si>
  <si>
    <t>EUR/USD (ECB reference rate)</t>
  </si>
  <si>
    <t>Only Safran requires conversion. EUR/USD from the ECB reference rate table (ecb.europa.eu), via Point Alpha research data pack.</t>
  </si>
  <si>
    <t>Consensus inputs: S&amp;P Global / MarketScreener consensus, week of October 19, 2026</t>
  </si>
  <si>
    <t>FY1 end date</t>
  </si>
  <si>
    <t>FY1 / FY2</t>
  </si>
  <si>
    <t>Revenue FY1 (local M)</t>
  </si>
  <si>
    <t>Revenue FY2 (local M)</t>
  </si>
  <si>
    <t>Adj. EPS FY1 (local)</t>
  </si>
  <si>
    <t>Adj. EPS FY2 (local)</t>
  </si>
  <si>
    <t>EBITDA FY1 (local M)</t>
  </si>
  <si>
    <t>EBITDA FY2 (local M)</t>
  </si>
  <si>
    <t>NTM weight on FY1</t>
  </si>
  <si>
    <t>Post-cutoff reporting note</t>
  </si>
  <si>
    <t>FY26 / FY27 (Dec)</t>
  </si>
  <si>
    <t>Q3 reported October 20, 2026, before the cutoff; S&amp;P Global EPS (7.93) sits below the October 20 guide, so the page does not appear to reflect it fully.</t>
  </si>
  <si>
    <t>Q3 revenue release came after the October 21 cutoff, during the consensus capture week; the page may already reflect it. Not verifiable from the data pack.</t>
  </si>
  <si>
    <t>First Q3 report as a standalone company falls after the consensus capture; not reflected.</t>
  </si>
  <si>
    <t>FY26 / FY27 (Sep)</t>
  </si>
  <si>
    <t>FY26 ended Sep 30, 2026, so NTM uses FY27 (Oct 2026 to Sep 2027). FY Q4 report falls after the capture; not reflected.</t>
  </si>
  <si>
    <t>FY26 / FY27 (Oct)</t>
  </si>
  <si>
    <t>No report between the cutoff and the consensus capture.</t>
  </si>
  <si>
    <t>Balance sheet is Q2 2026 (latest results in the data pack); Q3 timing relative to capture not stated in the data pack.</t>
  </si>
  <si>
    <t>Q3 reported October 20, 2026, before the cutoff.</t>
  </si>
  <si>
    <t>Q3 report falls after the consensus capture; not reflected.</t>
  </si>
  <si>
    <t>RTX Corporation (reference)</t>
  </si>
  <si>
    <t>Q3 reported October 20, 2026; S&amp;P Global EPS (7.25) appears to predate the October 20 guide raise to 7.65 to 7.75.</t>
  </si>
  <si>
    <t>RTX Corporation (RTX): Model Checks</t>
  </si>
  <si>
    <t>TRUE = pass. Tolerance 0.5 ($ millions). Overall result at the bottom of the tab.</t>
  </si>
  <si>
    <t>1. Balance sheet and cash tie-out (Projections)</t>
  </si>
  <si>
    <t>Check</t>
  </si>
  <si>
    <t>Pass</t>
  </si>
  <si>
    <t>Balance sheet balances</t>
  </si>
  <si>
    <t>Cash ties to cash flow statement</t>
  </si>
  <si>
    <t>Historical balance sheets balance (Dec-21 to Sep-26)</t>
  </si>
  <si>
    <t>2. Formula errors (#REF!, #DIV/0!, #VALUE!, #N/A and other error values)</t>
  </si>
  <si>
    <t>Tab</t>
  </si>
  <si>
    <t>Error count</t>
  </si>
  <si>
    <t>Range scanned</t>
  </si>
  <si>
    <t>Cover</t>
  </si>
  <si>
    <t>A1:P120</t>
  </si>
  <si>
    <t>A1:N100</t>
  </si>
  <si>
    <t>A1:K230</t>
  </si>
  <si>
    <t>A1:M160</t>
  </si>
  <si>
    <t>A1:I70</t>
  </si>
  <si>
    <t>A1:C60</t>
  </si>
  <si>
    <t>A1:M60</t>
  </si>
  <si>
    <t>A1:L440</t>
  </si>
  <si>
    <t>A1:K80</t>
  </si>
  <si>
    <t>A1:S30</t>
  </si>
  <si>
    <t>Total errors in workbook</t>
  </si>
  <si>
    <t>3. Valuation logic</t>
  </si>
  <si>
    <t>Terminal growth below WACC</t>
  </si>
  <si>
    <t>Terminal year net reinvestment = NOPAT x g / ROIC</t>
  </si>
  <si>
    <t>Sensitivity table 1 base cell equals DCF value per share</t>
  </si>
  <si>
    <t>Sensitivity table 2 base cell equals DCF value per share</t>
  </si>
  <si>
    <t>Beta regression reproduces data pack raw beta (0.3153)</t>
  </si>
  <si>
    <t>4. Historical spot checks against filings</t>
  </si>
  <si>
    <t>#</t>
  </si>
  <si>
    <t>Filing, statement and line item</t>
  </si>
  <si>
    <t>Reported ($M)</t>
  </si>
  <si>
    <t>Model ($M)</t>
  </si>
  <si>
    <t>Difference</t>
  </si>
  <si>
    <t>Match</t>
  </si>
  <si>
    <t>FY2025 net sales</t>
  </si>
  <si>
    <t>10-K FY2025, Consolidated Statement of Operations, Total net sales</t>
  </si>
  <si>
    <t>FY2025 operating profit</t>
  </si>
  <si>
    <t>10-K FY2025, Consolidated Statement of Operations, Operating profit</t>
  </si>
  <si>
    <t>FY2024 net income attributable to common shareowners</t>
  </si>
  <si>
    <t>10-K FY2025, Consolidated Statement of Operations, Net income attributable to common shareowners</t>
  </si>
  <si>
    <t>FY2023 Pratt &amp; Whitney segment net sales</t>
  </si>
  <si>
    <t>10-K FY2025, Segment Financial Data note, Pratt &amp; Whitney net sales</t>
  </si>
  <si>
    <t>FY2023 Powder Metal Matter reduction in sales</t>
  </si>
  <si>
    <t>10-K FY2025, Revenue disaggregation (geographic), Powder Metal Matter</t>
  </si>
  <si>
    <t>Total assets, Dec 31, 2022</t>
  </si>
  <si>
    <t>10-K FY2023, Consolidated Balance Sheet, Total assets</t>
  </si>
  <si>
    <t>FY2021 net cash from operating activities</t>
  </si>
  <si>
    <t>10-K FY2023, Consolidated Statement of Cash Flows, Net cash flows provided by operating activities</t>
  </si>
  <si>
    <t>Q3 2026 net sales</t>
  </si>
  <si>
    <t>8-K Ex. 99 Q3 2026 release (Oct 20, 2026), Condensed Consolidated Statement of Operations, Net sales</t>
  </si>
  <si>
    <t>Cash and equivalents, Sep 30, 2026</t>
  </si>
  <si>
    <t>8-K Ex. 99 Q3 2026 release, Condensed Consolidated Balance Sheet, Cash and cash equivalents</t>
  </si>
  <si>
    <t>FY2025 capital expenditures</t>
  </si>
  <si>
    <t>10-K FY2025, Consolidated Statement of Cash Flows, Capital expenditures</t>
  </si>
  <si>
    <t>5. Cells awaiting data (shown as n/d; no yellow cells used)</t>
  </si>
  <si>
    <t>Location</t>
  </si>
  <si>
    <t>Data needed</t>
  </si>
  <si>
    <t>Status</t>
  </si>
  <si>
    <t>Peer Data!M6:P17</t>
  </si>
  <si>
    <t>Peer consensus NTM EBITDA, adjusted EPS, revenue and growth</t>
  </si>
  <si>
    <t>Filled: S&amp;P Global / MarketScreener consensus, week of October 19, 2026 (no point-in-time October 21 snapshot exists)</t>
  </si>
  <si>
    <t>Peer Data!Q8:R8</t>
  </si>
  <si>
    <t>Honeywell Aerospace full LTM gross and operating margin</t>
  </si>
  <si>
    <t>Disclosure limitation: only H1 2026 standalone data post spin-off; not used in valuation</t>
  </si>
  <si>
    <t>Sum-of-Parts!F52:H65</t>
  </si>
  <si>
    <t>Sum-of-parts value</t>
  </si>
  <si>
    <t>Filled: computed from Peer Data consensus</t>
  </si>
  <si>
    <t>Cover!B14:E17</t>
  </si>
  <si>
    <t>50% DCF / 50% sum-of-parts blend and target</t>
  </si>
  <si>
    <t>Filled: target computed</t>
  </si>
  <si>
    <t>Historical, commercial OE / aftermarket split</t>
  </si>
  <si>
    <t>RTX does not disclose dollar sales by commercial OE and aftermarket; only growth rates (Q2/Q3 2026 releases). Shares are estimated in Assumptions with a stated basis</t>
  </si>
  <si>
    <t>Disclosure limitation</t>
  </si>
  <si>
    <t>Count of open data items (excluding disclosure limitations)</t>
  </si>
  <si>
    <t>6. Overall result</t>
  </si>
  <si>
    <t>Model integrity (checks 1 to 4)</t>
  </si>
  <si>
    <t>Data completeness</t>
  </si>
  <si>
    <t>RTX Corporation (NYSE: RTX) | QIS Audit: Quantitative Investment Strategies model review</t>
  </si>
  <si>
    <t>Live checks are formulas against the model; scan results (content, fills, chart titles) record the review pass. $ millions where amounts are shown. Reviewer: Point Alpha Capital, Quantitative Investment Strategies.</t>
  </si>
  <si>
    <t>1. Hardcoded numbers in Projections, DCF, Sensitivity and Sum-of-Parts</t>
  </si>
  <si>
    <t>Numeric constants now (live)</t>
  </si>
  <si>
    <t>Found at first pass</t>
  </si>
  <si>
    <t>Fix applied</t>
  </si>
  <si>
    <t>A1:M150</t>
  </si>
  <si>
    <t>B84, B87 (opening pension accrual and revolver set to 0)</t>
  </si>
  <si>
    <t>Linked to Assumptions!C93 and Assumptions!C92 (new labeled inputs with Basis)</t>
  </si>
  <si>
    <t>A1:M52</t>
  </si>
  <si>
    <t>C42 (preferred stock set to 0)</t>
  </si>
  <si>
    <t>Linked to Assumptions!C91 (preferred stock input, 10-K basis)</t>
  </si>
  <si>
    <t>A1:L434</t>
  </si>
  <si>
    <t>None</t>
  </si>
  <si>
    <t>None needed</t>
  </si>
  <si>
    <t>A1:K71</t>
  </si>
  <si>
    <t>2. Balance sheet balance and cash tie, every period</t>
  </si>
  <si>
    <t>Period</t>
  </si>
  <si>
    <t>Assets less liabilities and equity</t>
  </si>
  <si>
    <t>Balance sheet cash less cash flow ending cash</t>
  </si>
  <si>
    <t>Cause of any break</t>
  </si>
  <si>
    <t>Dec 31, 2021A</t>
  </si>
  <si>
    <t>Dec 31, 2022A</t>
  </si>
  <si>
    <t>Dec 31, 2023A</t>
  </si>
  <si>
    <t>Dec 31, 2024A</t>
  </si>
  <si>
    <t>Dec 31, 2025A</t>
  </si>
  <si>
    <t>Sep 30, 2026A</t>
  </si>
  <si>
    <t>All periods</t>
  </si>
  <si>
    <t>3. Formula errors (#REF!, #DIV/0!, #VALUE!, #N/A and others), by tab</t>
  </si>
  <si>
    <t>Error cells (live)</t>
  </si>
  <si>
    <t>Fix</t>
  </si>
  <si>
    <t>A1:K72</t>
  </si>
  <si>
    <t>None found</t>
  </si>
  <si>
    <t>A1:M93</t>
  </si>
  <si>
    <t>A1:K219</t>
  </si>
  <si>
    <t>A1:I66</t>
  </si>
  <si>
    <t>A1:C47</t>
  </si>
  <si>
    <t>A1:S38</t>
  </si>
  <si>
    <t>A1:M55</t>
  </si>
  <si>
    <t>Total</t>
  </si>
  <si>
    <t>4. Ten historical figures re-checked against the filing</t>
  </si>
  <si>
    <t>Figure</t>
  </si>
  <si>
    <t>Filing, period and line item</t>
  </si>
  <si>
    <t>Filing value</t>
  </si>
  <si>
    <t>Model value</t>
  </si>
  <si>
    <t>Net sales, FY2021</t>
  </si>
  <si>
    <t>10-K FY2023, Consolidated Statement of Operations, Total net sales, 2021</t>
  </si>
  <si>
    <t>Operating profit, FY2022</t>
  </si>
  <si>
    <t>10-K FY2023, Consolidated Statement of Operations, Operating profit, 2022</t>
  </si>
  <si>
    <t>Powder Metal Matter sales reduction, FY2023</t>
  </si>
  <si>
    <t>10-K FY2025, Note 20 Segment Financial Data, Powder Metal Matter (Pratt &amp; Whitney), 2023</t>
  </si>
  <si>
    <t>Net income attributable to common shareowners, FY2024</t>
  </si>
  <si>
    <t>10-K FY2025, Consolidated Statement of Operations, 2024</t>
  </si>
  <si>
    <t>Diluted EPS, FY2025 ($)</t>
  </si>
  <si>
    <t>10-K FY2025, Consolidated Statement of Operations, Diluted earnings per share, 2025</t>
  </si>
  <si>
    <t>Total assets, Dec 31, 2023</t>
  </si>
  <si>
    <t>Cash and cash equivalents, Dec 31, 2025</t>
  </si>
  <si>
    <t>10-K FY2025, Consolidated Balance Sheet, Cash and cash equivalents</t>
  </si>
  <si>
    <t>Net cash from operating activities, FY2025</t>
  </si>
  <si>
    <t>10-K FY2025, Consolidated Statement of Cash Flows, 2025</t>
  </si>
  <si>
    <t>Capital expenditures, FY2024</t>
  </si>
  <si>
    <t>10-K FY2025, Consolidated Statement of Cash Flows, Capital expenditures, 2024</t>
  </si>
  <si>
    <t>Net sales, Q3 2026</t>
  </si>
  <si>
    <t>8-K October 20, 2026, Exhibit 99, Condensed Consolidated Statement of Operations, quarter ended Sep 30, 2026</t>
  </si>
  <si>
    <t>All ten</t>
  </si>
  <si>
    <t>5. Assumptions: every driver has a Basis entry</t>
  </si>
  <si>
    <t>Test</t>
  </si>
  <si>
    <t>Range</t>
  </si>
  <si>
    <t>Drivers (live)</t>
  </si>
  <si>
    <t>Drivers missing Basis (live)</t>
  </si>
  <si>
    <t>Rows with a value in FY2025A or 2026E column</t>
  </si>
  <si>
    <t>Assumptions!A5:M93</t>
  </si>
  <si>
    <t>6. Terminal value and cost of capital</t>
  </si>
  <si>
    <t>Reference</t>
  </si>
  <si>
    <t>Value</t>
  </si>
  <si>
    <t>Limit / comparison</t>
  </si>
  <si>
    <t>DCF!C22 vs DCF!C21</t>
  </si>
  <si>
    <t>Terminal value share of enterprise value under 80%</t>
  </si>
  <si>
    <t>DCF!C38</t>
  </si>
  <si>
    <t>WACC uses bottom-up beta</t>
  </si>
  <si>
    <t>WACC!B26 vs WACC!B25</t>
  </si>
  <si>
    <t>Regression R-squared below threshold (regression not used)</t>
  </si>
  <si>
    <t>Beta Data!H10 vs H18</t>
  </si>
  <si>
    <t>Cost of equity built from beta used (CAPM)</t>
  </si>
  <si>
    <t>WACC!B27</t>
  </si>
  <si>
    <t>7. Cover target equals the stated blend; rating rule</t>
  </si>
  <si>
    <t>Independent recompute</t>
  </si>
  <si>
    <t>DCF value carried to Cover</t>
  </si>
  <si>
    <t>Cover!B15</t>
  </si>
  <si>
    <t>Sum-of-parts value carried to Cover</t>
  </si>
  <si>
    <t>Cover!B16</t>
  </si>
  <si>
    <t>Target = 50% DCF + 50% sum-of-parts, rounded to nearest $5</t>
  </si>
  <si>
    <t>Cover!B18</t>
  </si>
  <si>
    <t>Review limits (inputs)</t>
  </si>
  <si>
    <t>Terminal value cap</t>
  </si>
  <si>
    <t>Stated DCF weight</t>
  </si>
  <si>
    <t>Stated sum-of-parts weight</t>
  </si>
  <si>
    <t>Rating rule: HOLD, target under review whenever the mark is above the target</t>
  </si>
  <si>
    <t>Cover!B6</t>
  </si>
  <si>
    <t>Position direction stays Long (Cover!B5)</t>
  </si>
  <si>
    <t>8. Content and presentation scan (all tabs, cell text, notes, chart titles and series)</t>
  </si>
  <si>
    <t>Scope</t>
  </si>
  <si>
    <t>Items scanned</t>
  </si>
  <si>
    <t>Exceptions found</t>
  </si>
  <si>
    <t>Detail</t>
  </si>
  <si>
    <t>References to drafting tools or vendors, drafting conversations, source material handed to the analyst, or a requesting party: cell text</t>
  </si>
  <si>
    <t>All tabs, text cells</t>
  </si>
  <si>
    <t>Same test: cell notes</t>
  </si>
  <si>
    <t>All tabs, notes</t>
  </si>
  <si>
    <t>Same test: chart titles and series names</t>
  </si>
  <si>
    <t>Cover charts</t>
  </si>
  <si>
    <t>Information dated after October 21, 2026, other than the labeled consensus</t>
  </si>
  <si>
    <t>All cell text and notes</t>
  </si>
  <si>
    <t>Only the approved model date (October 22, 2026) appears. Fiscal period-end labels (2026E and later) are periods, not information dates. Consensus labeled S&amp;P Global / MarketScreener, week of October 19, 2026 (Peer Data rows 26 to 38).</t>
  </si>
  <si>
    <t>Provenance-method column (none permitted)</t>
  </si>
  <si>
    <t>None: no column header of that kind on any tab</t>
  </si>
  <si>
    <t>Yellow cells</t>
  </si>
  <si>
    <t>All tabs, cell fills</t>
  </si>
  <si>
    <t>All used cells</t>
  </si>
  <si>
    <t>None; unavailable data shows as n/d</t>
  </si>
  <si>
    <t>Document properties (manual step, not counted in verdict)</t>
  </si>
  <si>
    <t>File &gt; Info &gt; Properties</t>
  </si>
  <si>
    <t>Title, subject, author, comments, company</t>
  </si>
  <si>
    <t>n/a</t>
  </si>
  <si>
    <t>Last saved by: Ishaan Patel; title, subject, comments blank. Set title to PA-RTX-Model before publishing.</t>
  </si>
  <si>
    <t>9. Verdict</t>
  </si>
  <si>
    <t>Area</t>
  </si>
  <si>
    <t>Reference if returned</t>
  </si>
  <si>
    <t>Hardcodes: Projections, DCF, Sensitivity, Sum-of-Parts</t>
  </si>
  <si>
    <t>Balance and cash tie</t>
  </si>
  <si>
    <t>Formula errors</t>
  </si>
  <si>
    <t>Historical re-check</t>
  </si>
  <si>
    <t>Assumptions Basis</t>
  </si>
  <si>
    <t>Terminal value and WACC</t>
  </si>
  <si>
    <t>Cover blend</t>
  </si>
  <si>
    <t>Content scan</t>
  </si>
  <si>
    <t>Final verdict</t>
  </si>
  <si>
    <t>Review log: pass 1 Returned (Projections!B84 and B87, DCF!C42 hardcoded opening values; Peer Data RTX row split across rows 17 and 18 with Sum-of-Parts!B26:K26 pointing at the partial row); fixed and linked, pass 2 Cleared. Pass 3 after the Cover rating rule (Cover!B6) and note 8 (Cover!A61) were added: the audit's own scan label in A87 matched the provenance-column test; label reworded, pass 4 Cleared.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</si>
</sst>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#,##0.0,;\(#,##0.0,\);&quot;-&quot;"/>
    <numFmt numFmtId="165" formatCode="#,##0.0"/>
    <numFmt numFmtId="166" formatCode="0.0%;\(0.0%\);&quot;-&quot;"/>
    <numFmt numFmtId="167" formatCode="0.00;\(0.00\);&quot;-&quot;"/>
    <numFmt numFmtId="168" formatCode="#,##0.0;\(#,##0.0\);&quot;-&quot;"/>
    <numFmt numFmtId="169" formatCode="0.0;\(0.0\);&quot;-&quot;"/>
    <numFmt numFmtId="170" formatCode="0.0&quot;x&quot;;\(0.0&quot;x&quot;\);&quot;-&quot;"/>
    <numFmt numFmtId="171" formatCode="mmm\ yyyy"/>
    <numFmt numFmtId="172" formatCode="0.0%"/>
    <numFmt numFmtId="173" formatCode="0.0000"/>
    <numFmt numFmtId="174" formatCode="0.000"/>
    <numFmt numFmtId="175" formatCode="mmm\ d\,\ yyyy"/>
    <numFmt numFmtId="176" formatCode="0.00%;\(0.00%\);&quot;-&quot;"/>
    <numFmt numFmtId="177" formatCode="0;\(0\);&quot;-&quot;"/>
    <numFmt numFmtId="178" formatCode="0.0000;\(0.0000\);&quot;-&quot;"/>
    <numFmt numFmtId="179" formatCode="#,##0;\(#,##0\);&quot;-&quot;"/>
    <numFmt numFmtId="180" formatCode="#,##0.00;\(#,##0.00\);&quot;-&quot;"/>
    <numFmt numFmtId="181" formatCode="&quot;$&quot;#,##0.00"/>
    <numFmt numFmtId="182" formatCode="0.0%;\(0.0%\)"/>
    <numFmt numFmtId="183" formatCode="&quot;$&quot;#,##0.0,"/>
    <numFmt numFmtId="184" formatCode="0.0"/>
  </numFmts>
  <fonts count="20">
    <font>
      <sz val="11"/>
      <color theme="1"/>
      <name val="Calibri"/>
      <family val="2"/>
      <scheme val="minor"/>
    </font>
    <font>
      <sz val="9"/>
      <color theme="1"/>
      <name val="Arial"/>
    </font>
    <font>
      <b/>
      <sz val="9"/>
      <color theme="1"/>
      <name val="Arial"/>
    </font>
    <font>
      <b/>
      <sz val="10"/>
      <color theme="1"/>
      <name val="Arial"/>
    </font>
    <font>
      <sz val="9"/>
      <color rgb="FF0000FF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FF"/>
      <name val="Arial"/>
    </font>
    <font>
      <sz val="8"/>
      <color rgb="FF595959"/>
      <name val="Arial"/>
    </font>
    <font>
      <b/>
      <sz val="10"/>
      <color rgb="FF000000"/>
      <name val="Arial"/>
    </font>
    <font>
      <b/>
      <sz val="10"/>
      <color rgb="FF595959"/>
      <name val="Arial"/>
    </font>
    <font>
      <sz val="9"/>
      <color rgb="FF008000"/>
      <name val="Arial"/>
    </font>
    <font>
      <b/>
      <sz val="9"/>
      <color rgb="FF008000"/>
      <name val="Arial"/>
    </font>
    <font>
      <u/>
      <sz val="11"/>
      <color theme="10"/>
      <name val="Calibri"/>
      <family val="2"/>
      <scheme val="minor"/>
    </font>
    <font>
      <b/>
      <sz val="12"/>
      <color rgb="FFFFFFFF"/>
      <name val="Arial"/>
    </font>
    <font>
      <i/>
      <sz val="9"/>
      <color rgb="FF000000"/>
      <name val="Arial"/>
    </font>
    <font>
      <i/>
      <sz val="8"/>
      <color rgb="FF595959"/>
      <name val="Arial"/>
    </font>
    <font>
      <b/>
      <sz val="11"/>
      <color rgb="FF000000"/>
      <name val="Arial"/>
    </font>
    <font>
      <u/>
      <sz val="9"/>
      <color rgb="FF1C2B4A"/>
      <name val="Arial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EE8"/>
        <bgColor indexed="64"/>
      </patternFill>
    </fill>
    <fill>
      <patternFill patternType="solid">
        <fgColor rgb="FF1C2B4A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rgb="FF1C2B4A"/>
      </top>
      <bottom/>
      <diagonal/>
    </border>
    <border>
      <left/>
      <right/>
      <top style="medium">
        <color rgb="FF1C2B4A"/>
      </top>
      <bottom style="medium">
        <color rgb="FF1C2B4A"/>
      </bottom>
      <diagonal/>
    </border>
    <border>
      <left style="medium">
        <color rgb="FF1C2B4A"/>
      </left>
      <right/>
      <top style="medium">
        <color rgb="FF1C2B4A"/>
      </top>
      <bottom style="medium">
        <color rgb="FF1C2B4A"/>
      </bottom>
      <diagonal/>
    </border>
    <border>
      <left style="medium">
        <color rgb="FF1C2B4A"/>
      </left>
      <right style="medium">
        <color rgb="FF1C2B4A"/>
      </right>
      <top style="medium">
        <color rgb="FF1C2B4A"/>
      </top>
      <bottom style="medium">
        <color rgb="FF1C2B4A"/>
      </bottom>
      <diagonal/>
    </border>
    <border>
      <left/>
      <right/>
      <top/>
      <bottom style="thin">
        <color rgb="FF1C2B4A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1C2B4A"/>
      </bottom>
      <diagonal/>
    </border>
    <border>
      <left style="medium">
        <color rgb="FF1C2B4A"/>
      </left>
      <right/>
      <top style="medium">
        <color rgb="FF1C2B4A"/>
      </top>
      <bottom/>
      <diagonal/>
    </border>
    <border>
      <left style="medium">
        <color rgb="FF1C2B4A"/>
      </left>
      <right/>
      <top/>
      <bottom/>
      <diagonal/>
    </border>
    <border>
      <left style="medium">
        <color rgb="FF1C2B4A"/>
      </left>
      <right/>
      <top/>
      <bottom style="medium">
        <color rgb="FF1C2B4A"/>
      </bottom>
      <diagonal/>
    </border>
    <border>
      <left/>
      <right style="medium">
        <color rgb="FF1C2B4A"/>
      </right>
      <top style="medium">
        <color rgb="FF1C2B4A"/>
      </top>
      <bottom/>
      <diagonal/>
    </border>
    <border>
      <left/>
      <right style="medium">
        <color rgb="FF1C2B4A"/>
      </right>
      <top/>
      <bottom/>
      <diagonal/>
    </border>
    <border>
      <left/>
      <right style="medium">
        <color rgb="FF1C2B4A"/>
      </right>
      <top/>
      <bottom style="medium">
        <color rgb="FF1C2B4A"/>
      </bottom>
      <diagonal/>
    </border>
    <border>
      <left/>
      <right style="medium">
        <color rgb="FF1C2B4A"/>
      </right>
      <top/>
      <bottom style="thin">
        <color rgb="FF1C2B4A"/>
      </bottom>
      <diagonal/>
    </border>
    <border>
      <left/>
      <right style="medium">
        <color rgb="FF1C2B4A"/>
      </right>
      <top style="thin">
        <color auto="1"/>
      </top>
      <bottom/>
      <diagonal/>
    </border>
    <border>
      <left/>
      <right style="medium">
        <color rgb="FF1C2B4A"/>
      </right>
      <top style="medium">
        <color rgb="FF1C2B4A"/>
      </top>
      <bottom style="medium">
        <color rgb="FF1C2B4A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20">
    <xf numFmtId="0" fontId="0" fillId="0" borderId="0" xfId="0"/>
    <xf numFmtId="0" fontId="1" fillId="0" borderId="0" xfId="0" applyFont="1"/>
    <xf numFmtId="0" fontId="3" fillId="2" borderId="0" xfId="0" applyFont="1" applyFill="1"/>
    <xf numFmtId="164" fontId="4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0" applyFont="1"/>
    <xf numFmtId="164" fontId="5" fillId="0" borderId="0" xfId="0" applyNumberFormat="1" applyFont="1"/>
    <xf numFmtId="0" fontId="2" fillId="0" borderId="0" xfId="0" applyFont="1"/>
    <xf numFmtId="0" fontId="2" fillId="0" borderId="1" xfId="0" applyFont="1" applyBorder="1"/>
    <xf numFmtId="164" fontId="6" fillId="0" borderId="1" xfId="0" applyNumberFormat="1" applyFont="1" applyBorder="1"/>
    <xf numFmtId="164" fontId="7" fillId="0" borderId="1" xfId="0" applyNumberFormat="1" applyFont="1" applyBorder="1"/>
    <xf numFmtId="0" fontId="1" fillId="0" borderId="1" xfId="0" applyFont="1" applyBorder="1"/>
    <xf numFmtId="164" fontId="5" fillId="0" borderId="1" xfId="0" applyNumberFormat="1" applyFont="1" applyBorder="1"/>
    <xf numFmtId="164" fontId="4" fillId="0" borderId="1" xfId="0" applyNumberFormat="1" applyFont="1" applyBorder="1"/>
    <xf numFmtId="164" fontId="6" fillId="0" borderId="0" xfId="0" applyNumberFormat="1" applyFont="1"/>
    <xf numFmtId="166" fontId="5" fillId="0" borderId="0" xfId="0" applyNumberFormat="1" applyFont="1"/>
    <xf numFmtId="167" fontId="4" fillId="0" borderId="0" xfId="0" applyNumberFormat="1" applyFont="1"/>
    <xf numFmtId="167" fontId="5" fillId="0" borderId="0" xfId="0" applyNumberFormat="1" applyFont="1"/>
    <xf numFmtId="168" fontId="4" fillId="0" borderId="0" xfId="0" applyNumberFormat="1" applyFont="1"/>
    <xf numFmtId="168" fontId="5" fillId="0" borderId="0" xfId="0" applyNumberFormat="1" applyFont="1"/>
    <xf numFmtId="164" fontId="6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6" fontId="4" fillId="0" borderId="0" xfId="0" applyNumberFormat="1" applyFont="1"/>
    <xf numFmtId="49" fontId="1" fillId="0" borderId="0" xfId="0" applyNumberFormat="1" applyFont="1"/>
    <xf numFmtId="49" fontId="2" fillId="0" borderId="0" xfId="0" applyNumberFormat="1" applyFont="1" applyAlignment="1">
      <alignment horizontal="right"/>
    </xf>
    <xf numFmtId="166" fontId="1" fillId="0" borderId="0" xfId="0" applyNumberFormat="1" applyFont="1"/>
    <xf numFmtId="167" fontId="1" fillId="0" borderId="0" xfId="0" applyNumberFormat="1" applyFont="1"/>
    <xf numFmtId="169" fontId="5" fillId="0" borderId="0" xfId="0" applyNumberFormat="1" applyFont="1"/>
    <xf numFmtId="170" fontId="5" fillId="0" borderId="0" xfId="0" applyNumberFormat="1" applyFont="1"/>
    <xf numFmtId="164" fontId="9" fillId="2" borderId="0" xfId="0" applyNumberFormat="1" applyFont="1" applyFill="1"/>
    <xf numFmtId="0" fontId="10" fillId="2" borderId="0" xfId="0" applyFont="1" applyFill="1" applyAlignment="1">
      <alignment vertical="top" wrapText="1"/>
    </xf>
    <xf numFmtId="171" fontId="1" fillId="0" borderId="0" xfId="0" applyNumberFormat="1" applyFont="1"/>
    <xf numFmtId="2" fontId="1" fillId="0" borderId="0" xfId="0" applyNumberFormat="1" applyFont="1"/>
    <xf numFmtId="2" fontId="4" fillId="0" borderId="0" xfId="0" applyNumberFormat="1" applyFont="1"/>
    <xf numFmtId="4" fontId="4" fillId="0" borderId="0" xfId="0" applyNumberFormat="1" applyFont="1"/>
    <xf numFmtId="172" fontId="1" fillId="0" borderId="0" xfId="0" applyNumberFormat="1" applyFont="1"/>
    <xf numFmtId="173" fontId="1" fillId="0" borderId="0" xfId="0" applyNumberFormat="1" applyFont="1"/>
    <xf numFmtId="10" fontId="1" fillId="0" borderId="0" xfId="0" applyNumberFormat="1" applyFont="1"/>
    <xf numFmtId="174" fontId="1" fillId="0" borderId="0" xfId="0" applyNumberFormat="1" applyFont="1"/>
    <xf numFmtId="1" fontId="1" fillId="0" borderId="0" xfId="0" applyNumberFormat="1" applyFont="1"/>
    <xf numFmtId="173" fontId="4" fillId="0" borderId="0" xfId="0" applyNumberFormat="1" applyFont="1"/>
    <xf numFmtId="175" fontId="5" fillId="0" borderId="0" xfId="0" applyNumberFormat="1" applyFont="1"/>
    <xf numFmtId="174" fontId="5" fillId="0" borderId="0" xfId="0" applyNumberFormat="1" applyFont="1"/>
    <xf numFmtId="176" fontId="5" fillId="0" borderId="0" xfId="0" applyNumberFormat="1" applyFont="1"/>
    <xf numFmtId="175" fontId="4" fillId="0" borderId="0" xfId="0" applyNumberFormat="1" applyFont="1"/>
    <xf numFmtId="176" fontId="4" fillId="0" borderId="0" xfId="0" applyNumberFormat="1" applyFont="1"/>
    <xf numFmtId="165" fontId="11" fillId="0" borderId="0" xfId="0" applyNumberFormat="1" applyFont="1"/>
    <xf numFmtId="164" fontId="11" fillId="0" borderId="0" xfId="0" applyNumberFormat="1" applyFont="1"/>
    <xf numFmtId="174" fontId="11" fillId="0" borderId="0" xfId="0" applyNumberFormat="1" applyFont="1"/>
    <xf numFmtId="49" fontId="11" fillId="0" borderId="0" xfId="0" applyNumberFormat="1" applyFont="1"/>
    <xf numFmtId="177" fontId="5" fillId="0" borderId="0" xfId="0" applyNumberFormat="1" applyFont="1"/>
    <xf numFmtId="177" fontId="4" fillId="0" borderId="0" xfId="0" applyNumberFormat="1" applyFont="1"/>
    <xf numFmtId="170" fontId="4" fillId="0" borderId="0" xfId="0" applyNumberFormat="1" applyFont="1"/>
    <xf numFmtId="175" fontId="11" fillId="0" borderId="0" xfId="0" applyNumberFormat="1" applyFont="1"/>
    <xf numFmtId="166" fontId="11" fillId="0" borderId="0" xfId="0" applyNumberFormat="1" applyFont="1"/>
    <xf numFmtId="169" fontId="11" fillId="0" borderId="0" xfId="0" applyNumberFormat="1" applyFont="1"/>
    <xf numFmtId="167" fontId="11" fillId="0" borderId="0" xfId="0" applyNumberFormat="1" applyFont="1"/>
    <xf numFmtId="168" fontId="11" fillId="0" borderId="0" xfId="0" applyNumberFormat="1" applyFont="1"/>
    <xf numFmtId="164" fontId="12" fillId="0" borderId="0" xfId="0" applyNumberFormat="1" applyFont="1"/>
    <xf numFmtId="167" fontId="6" fillId="0" borderId="0" xfId="0" applyNumberFormat="1" applyFont="1"/>
    <xf numFmtId="168" fontId="6" fillId="0" borderId="1" xfId="0" applyNumberFormat="1" applyFont="1" applyBorder="1"/>
    <xf numFmtId="178" fontId="5" fillId="0" borderId="0" xfId="0" applyNumberFormat="1" applyFont="1"/>
    <xf numFmtId="0" fontId="5" fillId="0" borderId="0" xfId="0" applyNumberFormat="1" applyFont="1"/>
    <xf numFmtId="176" fontId="11" fillId="0" borderId="0" xfId="0" applyNumberFormat="1" applyFont="1"/>
    <xf numFmtId="170" fontId="11" fillId="0" borderId="0" xfId="0" applyNumberFormat="1" applyFont="1"/>
    <xf numFmtId="166" fontId="6" fillId="0" borderId="0" xfId="0" applyNumberFormat="1" applyFont="1"/>
    <xf numFmtId="167" fontId="6" fillId="0" borderId="1" xfId="0" applyNumberFormat="1" applyFont="1" applyBorder="1"/>
    <xf numFmtId="167" fontId="2" fillId="0" borderId="5" xfId="0" applyNumberFormat="1" applyFont="1" applyBorder="1"/>
    <xf numFmtId="172" fontId="2" fillId="2" borderId="0" xfId="0" applyNumberFormat="1" applyFont="1" applyFill="1"/>
    <xf numFmtId="10" fontId="2" fillId="2" borderId="0" xfId="0" applyNumberFormat="1" applyFont="1" applyFill="1"/>
    <xf numFmtId="0" fontId="14" fillId="3" borderId="0" xfId="0" applyFont="1" applyFill="1"/>
    <xf numFmtId="0" fontId="8" fillId="0" borderId="0" xfId="0" applyFont="1"/>
    <xf numFmtId="0" fontId="2" fillId="2" borderId="0" xfId="0" applyFont="1" applyFill="1"/>
    <xf numFmtId="0" fontId="2" fillId="2" borderId="0" xfId="0" applyFont="1" applyFill="1" applyAlignment="1">
      <alignment vertical="top" wrapText="1"/>
    </xf>
    <xf numFmtId="179" fontId="4" fillId="0" borderId="0" xfId="0" applyNumberFormat="1" applyFont="1"/>
    <xf numFmtId="0" fontId="1" fillId="0" borderId="0" xfId="0" applyFont="1" applyAlignment="1">
      <alignment vertical="top"/>
    </xf>
    <xf numFmtId="4" fontId="4" fillId="0" borderId="0" xfId="0" applyNumberFormat="1" applyFont="1" applyAlignment="1">
      <alignment vertical="top"/>
    </xf>
    <xf numFmtId="173" fontId="5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top"/>
    </xf>
    <xf numFmtId="179" fontId="4" fillId="0" borderId="0" xfId="0" applyNumberFormat="1" applyFont="1" applyAlignment="1">
      <alignment vertical="top"/>
    </xf>
    <xf numFmtId="179" fontId="5" fillId="0" borderId="0" xfId="0" applyNumberFormat="1" applyFont="1" applyAlignment="1">
      <alignment vertical="top"/>
    </xf>
    <xf numFmtId="15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166" fontId="4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173" fontId="1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  <xf numFmtId="179" fontId="1" fillId="0" borderId="0" xfId="0" applyNumberFormat="1" applyFont="1" applyAlignment="1">
      <alignment vertical="top"/>
    </xf>
    <xf numFmtId="173" fontId="1" fillId="0" borderId="0" xfId="0" applyNumberFormat="1" applyFont="1" applyAlignment="1">
      <alignment vertical="top"/>
    </xf>
    <xf numFmtId="0" fontId="1" fillId="0" borderId="0" xfId="0" applyFont="1" applyAlignment="1">
      <alignment horizontal="right" vertical="top"/>
    </xf>
    <xf numFmtId="166" fontId="1" fillId="0" borderId="0" xfId="0" applyNumberFormat="1" applyFont="1" applyAlignment="1">
      <alignment vertical="top"/>
    </xf>
    <xf numFmtId="15" fontId="1" fillId="0" borderId="0" xfId="0" applyNumberFormat="1" applyFont="1" applyAlignment="1">
      <alignment vertical="top"/>
    </xf>
    <xf numFmtId="4" fontId="11" fillId="0" borderId="0" xfId="0" applyNumberFormat="1" applyFont="1" applyAlignment="1">
      <alignment vertical="top"/>
    </xf>
    <xf numFmtId="165" fontId="11" fillId="0" borderId="0" xfId="0" applyNumberFormat="1" applyFont="1" applyAlignment="1">
      <alignment vertical="top"/>
    </xf>
    <xf numFmtId="179" fontId="11" fillId="0" borderId="0" xfId="0" applyNumberFormat="1" applyFont="1" applyAlignment="1">
      <alignment vertical="top"/>
    </xf>
    <xf numFmtId="166" fontId="11" fillId="0" borderId="0" xfId="0" applyNumberFormat="1" applyFont="1" applyAlignment="1">
      <alignment vertical="top"/>
    </xf>
    <xf numFmtId="0" fontId="9" fillId="2" borderId="0" xfId="0" applyFont="1" applyFill="1"/>
    <xf numFmtId="0" fontId="6" fillId="0" borderId="0" xfId="0" applyFont="1"/>
    <xf numFmtId="0" fontId="6" fillId="0" borderId="6" xfId="0" applyFont="1" applyBorder="1" applyAlignment="1">
      <alignment vertical="top" wrapText="1"/>
    </xf>
    <xf numFmtId="0" fontId="5" fillId="4" borderId="0" xfId="0" applyFont="1" applyFill="1"/>
    <xf numFmtId="180" fontId="5" fillId="0" borderId="0" xfId="0" applyNumberFormat="1" applyFont="1" applyAlignment="1">
      <alignment horizontal="right"/>
    </xf>
    <xf numFmtId="170" fontId="5" fillId="0" borderId="0" xfId="0" applyNumberFormat="1" applyFont="1" applyAlignment="1">
      <alignment horizontal="right"/>
    </xf>
    <xf numFmtId="180" fontId="5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170" fontId="5" fillId="4" borderId="0" xfId="0" applyNumberFormat="1" applyFont="1" applyFill="1" applyAlignment="1">
      <alignment horizontal="right"/>
    </xf>
    <xf numFmtId="166" fontId="5" fillId="4" borderId="0" xfId="0" applyNumberFormat="1" applyFont="1" applyFill="1" applyAlignment="1">
      <alignment horizontal="right"/>
    </xf>
    <xf numFmtId="0" fontId="5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181" fontId="5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81" fontId="6" fillId="0" borderId="0" xfId="0" applyNumberFormat="1" applyFont="1" applyAlignment="1">
      <alignment horizontal="right"/>
    </xf>
    <xf numFmtId="0" fontId="6" fillId="0" borderId="7" xfId="0" applyFont="1" applyBorder="1"/>
    <xf numFmtId="166" fontId="6" fillId="0" borderId="7" xfId="0" applyNumberFormat="1" applyFont="1" applyBorder="1"/>
    <xf numFmtId="164" fontId="6" fillId="0" borderId="7" xfId="0" applyNumberFormat="1" applyFont="1" applyBorder="1"/>
    <xf numFmtId="164" fontId="6" fillId="0" borderId="7" xfId="0" applyNumberFormat="1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15" fillId="0" borderId="0" xfId="0" applyFont="1"/>
    <xf numFmtId="166" fontId="15" fillId="0" borderId="0" xfId="0" applyNumberFormat="1" applyFont="1"/>
    <xf numFmtId="164" fontId="15" fillId="0" borderId="0" xfId="0" applyNumberFormat="1" applyFont="1"/>
    <xf numFmtId="0" fontId="16" fillId="0" borderId="0" xfId="0" applyFont="1"/>
    <xf numFmtId="0" fontId="2" fillId="0" borderId="6" xfId="0" applyFont="1" applyBorder="1"/>
    <xf numFmtId="3" fontId="1" fillId="0" borderId="0" xfId="0" applyNumberFormat="1" applyFont="1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vertical="top"/>
    </xf>
    <xf numFmtId="0" fontId="2" fillId="0" borderId="6" xfId="0" applyFont="1" applyBorder="1" applyAlignment="1">
      <alignment vertical="top"/>
    </xf>
    <xf numFmtId="0" fontId="13" fillId="0" borderId="0" xfId="1"/>
    <xf numFmtId="0" fontId="5" fillId="0" borderId="0" xfId="0" applyFont="1" applyBorder="1"/>
    <xf numFmtId="0" fontId="5" fillId="0" borderId="2" xfId="0" applyFont="1" applyBorder="1"/>
    <xf numFmtId="0" fontId="5" fillId="0" borderId="8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2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2" xfId="0" applyFont="1" applyBorder="1"/>
    <xf numFmtId="0" fontId="6" fillId="0" borderId="0" xfId="0" applyFont="1" applyBorder="1"/>
    <xf numFmtId="0" fontId="6" fillId="0" borderId="8" xfId="0" applyFont="1" applyBorder="1"/>
    <xf numFmtId="181" fontId="5" fillId="0" borderId="0" xfId="0" applyNumberFormat="1" applyFont="1" applyBorder="1" applyAlignment="1">
      <alignment horizontal="right"/>
    </xf>
    <xf numFmtId="182" fontId="5" fillId="0" borderId="0" xfId="0" applyNumberFormat="1" applyFont="1" applyBorder="1" applyAlignment="1">
      <alignment horizontal="right"/>
    </xf>
    <xf numFmtId="183" fontId="5" fillId="0" borderId="0" xfId="0" applyNumberFormat="1" applyFont="1" applyBorder="1" applyAlignment="1">
      <alignment horizontal="right"/>
    </xf>
    <xf numFmtId="183" fontId="5" fillId="0" borderId="8" xfId="0" applyNumberFormat="1" applyFont="1" applyBorder="1" applyAlignment="1">
      <alignment horizontal="right"/>
    </xf>
    <xf numFmtId="181" fontId="17" fillId="0" borderId="2" xfId="0" applyNumberFormat="1" applyFont="1" applyBorder="1" applyAlignment="1">
      <alignment horizontal="right"/>
    </xf>
    <xf numFmtId="9" fontId="5" fillId="0" borderId="0" xfId="0" applyNumberFormat="1" applyFont="1" applyAlignment="1">
      <alignment horizontal="right"/>
    </xf>
    <xf numFmtId="182" fontId="5" fillId="0" borderId="0" xfId="0" applyNumberFormat="1" applyFont="1" applyAlignment="1">
      <alignment horizontal="right"/>
    </xf>
    <xf numFmtId="181" fontId="6" fillId="0" borderId="7" xfId="0" applyNumberFormat="1" applyFont="1" applyBorder="1" applyAlignment="1">
      <alignment horizontal="right"/>
    </xf>
    <xf numFmtId="9" fontId="6" fillId="0" borderId="7" xfId="0" applyNumberFormat="1" applyFont="1" applyBorder="1" applyAlignment="1">
      <alignment horizontal="right"/>
    </xf>
    <xf numFmtId="182" fontId="6" fillId="0" borderId="7" xfId="0" applyNumberFormat="1" applyFont="1" applyBorder="1" applyAlignment="1">
      <alignment horizontal="right"/>
    </xf>
    <xf numFmtId="0" fontId="6" fillId="4" borderId="0" xfId="0" applyFont="1" applyFill="1"/>
    <xf numFmtId="181" fontId="6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right"/>
    </xf>
    <xf numFmtId="182" fontId="6" fillId="4" borderId="0" xfId="0" applyNumberFormat="1" applyFont="1" applyFill="1" applyAlignment="1">
      <alignment horizontal="right"/>
    </xf>
    <xf numFmtId="0" fontId="18" fillId="0" borderId="0" xfId="1" applyFont="1"/>
    <xf numFmtId="2" fontId="8" fillId="0" borderId="0" xfId="0" applyNumberFormat="1" applyFont="1"/>
    <xf numFmtId="49" fontId="8" fillId="0" borderId="0" xfId="0" applyNumberFormat="1" applyFont="1"/>
    <xf numFmtId="184" fontId="8" fillId="0" borderId="0" xfId="0" applyNumberFormat="1" applyFont="1"/>
    <xf numFmtId="172" fontId="8" fillId="0" borderId="0" xfId="0" applyNumberFormat="1" applyFont="1"/>
    <xf numFmtId="49" fontId="5" fillId="0" borderId="0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49" fontId="2" fillId="0" borderId="6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right"/>
    </xf>
    <xf numFmtId="49" fontId="2" fillId="0" borderId="15" xfId="0" applyNumberFormat="1" applyFont="1" applyBorder="1" applyAlignment="1">
      <alignment horizontal="right"/>
    </xf>
    <xf numFmtId="0" fontId="1" fillId="0" borderId="13" xfId="0" applyFont="1" applyBorder="1"/>
    <xf numFmtId="164" fontId="9" fillId="2" borderId="13" xfId="0" applyNumberFormat="1" applyFont="1" applyFill="1" applyBorder="1"/>
    <xf numFmtId="164" fontId="5" fillId="0" borderId="13" xfId="0" applyNumberFormat="1" applyFont="1" applyBorder="1"/>
    <xf numFmtId="164" fontId="11" fillId="0" borderId="13" xfId="0" applyNumberFormat="1" applyFont="1" applyBorder="1"/>
    <xf numFmtId="164" fontId="6" fillId="0" borderId="16" xfId="0" applyNumberFormat="1" applyFont="1" applyBorder="1"/>
    <xf numFmtId="164" fontId="12" fillId="0" borderId="13" xfId="0" applyNumberFormat="1" applyFont="1" applyBorder="1"/>
    <xf numFmtId="164" fontId="5" fillId="0" borderId="16" xfId="0" applyNumberFormat="1" applyFont="1" applyBorder="1"/>
    <xf numFmtId="166" fontId="5" fillId="0" borderId="13" xfId="0" applyNumberFormat="1" applyFont="1" applyBorder="1"/>
    <xf numFmtId="164" fontId="6" fillId="0" borderId="13" xfId="0" applyNumberFormat="1" applyFont="1" applyBorder="1"/>
    <xf numFmtId="168" fontId="11" fillId="0" borderId="13" xfId="0" applyNumberFormat="1" applyFont="1" applyBorder="1"/>
    <xf numFmtId="167" fontId="6" fillId="0" borderId="13" xfId="0" applyNumberFormat="1" applyFont="1" applyBorder="1"/>
    <xf numFmtId="167" fontId="5" fillId="0" borderId="13" xfId="0" applyNumberFormat="1" applyFont="1" applyBorder="1"/>
    <xf numFmtId="168" fontId="5" fillId="0" borderId="13" xfId="0" applyNumberFormat="1" applyFont="1" applyBorder="1"/>
    <xf numFmtId="168" fontId="6" fillId="0" borderId="16" xfId="0" applyNumberFormat="1" applyFont="1" applyBorder="1"/>
    <xf numFmtId="49" fontId="1" fillId="0" borderId="13" xfId="0" applyNumberFormat="1" applyFont="1" applyBorder="1"/>
    <xf numFmtId="177" fontId="5" fillId="0" borderId="13" xfId="0" applyNumberFormat="1" applyFont="1" applyBorder="1"/>
    <xf numFmtId="175" fontId="5" fillId="0" borderId="13" xfId="0" applyNumberFormat="1" applyFont="1" applyBorder="1"/>
    <xf numFmtId="169" fontId="5" fillId="0" borderId="13" xfId="0" applyNumberFormat="1" applyFont="1" applyBorder="1"/>
    <xf numFmtId="166" fontId="11" fillId="0" borderId="13" xfId="0" applyNumberFormat="1" applyFont="1" applyBorder="1"/>
    <xf numFmtId="170" fontId="5" fillId="0" borderId="13" xfId="0" applyNumberFormat="1" applyFont="1" applyBorder="1"/>
    <xf numFmtId="0" fontId="19" fillId="2" borderId="0" xfId="0" applyFont="1" applyFill="1"/>
    <xf numFmtId="0" fontId="2" fillId="0" borderId="6" xfId="0" applyFont="1" applyBorder="1" applyAlignment="1">
      <alignment wrapText="1"/>
    </xf>
    <xf numFmtId="179" fontId="5" fillId="0" borderId="0" xfId="0" applyNumberFormat="1" applyFont="1" applyAlignment="1">
      <alignment horizontal="right" vertical="top"/>
    </xf>
    <xf numFmtId="167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2" fillId="0" borderId="6" xfId="0" applyFont="1" applyBorder="1" applyAlignment="1">
      <alignment vertical="top" wrapText="1"/>
    </xf>
    <xf numFmtId="49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168" fontId="1" fillId="0" borderId="0" xfId="0" applyNumberFormat="1" applyFont="1" applyAlignment="1">
      <alignment vertical="top"/>
    </xf>
    <xf numFmtId="180" fontId="4" fillId="0" borderId="0" xfId="0" applyNumberFormat="1" applyFont="1" applyAlignment="1">
      <alignment vertical="top"/>
    </xf>
    <xf numFmtId="180" fontId="1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174" fontId="1" fillId="0" borderId="0" xfId="0" applyNumberFormat="1" applyFont="1" applyAlignment="1">
      <alignment vertical="top"/>
    </xf>
    <xf numFmtId="9" fontId="4" fillId="0" borderId="0" xfId="0" applyNumberFormat="1" applyFont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17" xfId="0" applyFont="1" applyBorder="1" applyAlignment="1">
      <alignment vertical="top" wrapText="1"/>
    </xf>
    <xf numFmtId="0" fontId="2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180" fontId="1" fillId="0" borderId="0" xfId="0" applyNumberFormat="1" applyFont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right"/>
    </xf>
    <xf numFmtId="182" fontId="6" fillId="0" borderId="0" xfId="0" applyNumberFormat="1" applyFont="1" applyBorder="1" applyAlignment="1">
      <alignment horizontal="right"/>
    </xf>
    <xf numFmtId="0" fontId="6" fillId="0" borderId="6" xfId="0" applyFont="1" applyBorder="1" applyAlignment="1">
      <alignment wrapText="1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2">
    <dxf>
      <font>
        <color rgb="FFC00000"/>
      </font>
    </dxf>
    <dxf>
      <font>
        <color rgb="FFC0000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r>
              <a:rPr lang="en-US"/>
              <a:t>Value per share ($): DCF range, peer range, 52-week range, mark and target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Cover!$I$5</c:f>
              <c:strCache>
                <c:ptCount val="1"/>
                <c:pt idx="0">
                  <c:v>Low</c:v>
                </c:pt>
              </c:strCache>
            </c:strRef>
          </c:tx>
          <c:spPr>
            <a:noFill/>
            <a:ln w="25400">
              <a:noFill/>
            </a:ln>
            <a:effectLst/>
          </c:spPr>
          <c:invertIfNegative val="0"/>
          <c:cat>
            <c:strRef>
              <c:f>Cover!$H$7:$H$11</c:f>
              <c:strCache>
                <c:ptCount val="5"/>
                <c:pt idx="0">
                  <c:v>DCF sensitivity (WACC +/-1.0 pt, g +/-1.0 pt)</c:v>
                </c:pt>
                <c:pt idx="1">
                  <c:v>Peer EV / NTM EBITDA, 25th to 75th pct</c:v>
                </c:pt>
                <c:pt idx="2">
                  <c:v>52-week range (month-end closes and Oct 21 close)</c:v>
                </c:pt>
                <c:pt idx="3">
                  <c:v>Mark $191.60</c:v>
                </c:pt>
                <c:pt idx="4">
                  <c:v>Target $155</c:v>
                </c:pt>
              </c:strCache>
            </c:strRef>
          </c:cat>
          <c:val>
            <c:numRef>
              <c:f>Cover!$I$7:$I$11</c:f>
              <c:numCache>
                <c:formatCode>0.00</c:formatCode>
                <c:ptCount val="5"/>
                <c:pt idx="0">
                  <c:v>114.59341107621752</c:v>
                </c:pt>
                <c:pt idx="1">
                  <c:v>144.67161469451949</c:v>
                </c:pt>
                <c:pt idx="2">
                  <c:v>173.03</c:v>
                </c:pt>
                <c:pt idx="3">
                  <c:v>191</c:v>
                </c:pt>
                <c:pt idx="4">
                  <c:v>154.4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42-43EE-9483-89F4EE2F5D1B}"/>
            </c:ext>
          </c:extLst>
        </c:ser>
        <c:ser>
          <c:idx val="1"/>
          <c:order val="1"/>
          <c:tx>
            <c:strRef>
              <c:f>Cover!$J$5</c:f>
              <c:strCache>
                <c:ptCount val="1"/>
                <c:pt idx="0">
                  <c:v>Spread</c:v>
                </c:pt>
              </c:strCache>
            </c:strRef>
          </c:tx>
          <c:spPr>
            <a:solidFill>
              <a:srgbClr val="1C2B4A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D42-43EE-9483-89F4EE2F5D1B}"/>
              </c:ext>
            </c:extLst>
          </c:dPt>
          <c:dPt>
            <c:idx val="4"/>
            <c:invertIfNegative val="0"/>
            <c:bubble3D val="0"/>
            <c:spPr>
              <a:solidFill>
                <a:srgbClr val="008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BD42-43EE-9483-89F4EE2F5D1B}"/>
              </c:ext>
            </c:extLst>
          </c:dPt>
          <c:cat>
            <c:strRef>
              <c:f>Cover!$H$7:$H$11</c:f>
              <c:strCache>
                <c:ptCount val="5"/>
                <c:pt idx="0">
                  <c:v>DCF sensitivity (WACC +/-1.0 pt, g +/-1.0 pt)</c:v>
                </c:pt>
                <c:pt idx="1">
                  <c:v>Peer EV / NTM EBITDA, 25th to 75th pct</c:v>
                </c:pt>
                <c:pt idx="2">
                  <c:v>52-week range (month-end closes and Oct 21 close)</c:v>
                </c:pt>
                <c:pt idx="3">
                  <c:v>Mark $191.60</c:v>
                </c:pt>
                <c:pt idx="4">
                  <c:v>Target $155</c:v>
                </c:pt>
              </c:strCache>
            </c:strRef>
          </c:cat>
          <c:val>
            <c:numRef>
              <c:f>Cover!$J$7:$J$11</c:f>
              <c:numCache>
                <c:formatCode>0.00</c:formatCode>
                <c:ptCount val="5"/>
                <c:pt idx="0">
                  <c:v>117.50078633110896</c:v>
                </c:pt>
                <c:pt idx="1">
                  <c:v>78.558756978959821</c:v>
                </c:pt>
                <c:pt idx="2">
                  <c:v>41.47999999999999</c:v>
                </c:pt>
                <c:pt idx="3">
                  <c:v>1.2</c:v>
                </c:pt>
                <c:pt idx="4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42-43EE-9483-89F4EE2F5D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455419400"/>
        <c:axId val="1455421448"/>
      </c:barChart>
      <c:catAx>
        <c:axId val="14554194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5421448"/>
        <c:crosses val="autoZero"/>
        <c:auto val="1"/>
        <c:lblAlgn val="ctr"/>
        <c:lblOffset val="100"/>
        <c:noMultiLvlLbl val="0"/>
      </c:catAx>
      <c:valAx>
        <c:axId val="1455421448"/>
        <c:scaling>
          <c:orientation val="minMax"/>
          <c:min val="80"/>
        </c:scaling>
        <c:delete val="0"/>
        <c:axPos val="t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5419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r>
              <a:rPr lang="en-US"/>
              <a:t>Net sales ($bn, columns) and operating margin (%, line)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Cover!$I$13</c:f>
              <c:strCache>
                <c:ptCount val="1"/>
                <c:pt idx="0">
                  <c:v>Net sales ($bn)</c:v>
                </c:pt>
              </c:strCache>
            </c:strRef>
          </c:tx>
          <c:spPr>
            <a:solidFill>
              <a:srgbClr val="1C2B4A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8496B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C8E-4640-AF24-BEF67A2E0500}"/>
              </c:ext>
            </c:extLst>
          </c:dPt>
          <c:dPt>
            <c:idx val="6"/>
            <c:invertIfNegative val="0"/>
            <c:bubble3D val="0"/>
            <c:spPr>
              <a:solidFill>
                <a:srgbClr val="8496B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FC8E-4640-AF24-BEF67A2E0500}"/>
              </c:ext>
            </c:extLst>
          </c:dPt>
          <c:dPt>
            <c:idx val="7"/>
            <c:invertIfNegative val="0"/>
            <c:bubble3D val="0"/>
            <c:spPr>
              <a:solidFill>
                <a:srgbClr val="8496B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C8E-4640-AF24-BEF67A2E0500}"/>
              </c:ext>
            </c:extLst>
          </c:dPt>
          <c:dPt>
            <c:idx val="8"/>
            <c:invertIfNegative val="0"/>
            <c:bubble3D val="0"/>
            <c:spPr>
              <a:solidFill>
                <a:srgbClr val="8496B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FC8E-4640-AF24-BEF67A2E0500}"/>
              </c:ext>
            </c:extLst>
          </c:dPt>
          <c:dPt>
            <c:idx val="9"/>
            <c:invertIfNegative val="0"/>
            <c:bubble3D val="0"/>
            <c:spPr>
              <a:solidFill>
                <a:srgbClr val="8496B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C8E-4640-AF24-BEF67A2E0500}"/>
              </c:ext>
            </c:extLst>
          </c:dPt>
          <c:dPt>
            <c:idx val="10"/>
            <c:invertIfNegative val="0"/>
            <c:bubble3D val="0"/>
            <c:spPr>
              <a:solidFill>
                <a:srgbClr val="8496B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FC8E-4640-AF24-BEF67A2E0500}"/>
              </c:ext>
            </c:extLst>
          </c:dPt>
          <c:dPt>
            <c:idx val="11"/>
            <c:invertIfNegative val="0"/>
            <c:bubble3D val="0"/>
            <c:spPr>
              <a:solidFill>
                <a:srgbClr val="8496B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C8E-4640-AF24-BEF67A2E0500}"/>
              </c:ext>
            </c:extLst>
          </c:dPt>
          <c:dPt>
            <c:idx val="12"/>
            <c:invertIfNegative val="0"/>
            <c:bubble3D val="0"/>
            <c:spPr>
              <a:solidFill>
                <a:srgbClr val="8496B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FC8E-4640-AF24-BEF67A2E0500}"/>
              </c:ext>
            </c:extLst>
          </c:dPt>
          <c:dPt>
            <c:idx val="13"/>
            <c:invertIfNegative val="0"/>
            <c:bubble3D val="0"/>
            <c:spPr>
              <a:solidFill>
                <a:srgbClr val="8496B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C8E-4640-AF24-BEF67A2E0500}"/>
              </c:ext>
            </c:extLst>
          </c:dPt>
          <c:dPt>
            <c:idx val="14"/>
            <c:invertIfNegative val="0"/>
            <c:bubble3D val="0"/>
            <c:spPr>
              <a:solidFill>
                <a:srgbClr val="8496B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FC8E-4640-AF24-BEF67A2E0500}"/>
              </c:ext>
            </c:extLst>
          </c:dPt>
          <c:cat>
            <c:strRef>
              <c:f>Cover!$H$14:$H$28</c:f>
              <c:strCache>
                <c:ptCount val="15"/>
                <c:pt idx="0">
                  <c:v>FY2021A</c:v>
                </c:pt>
                <c:pt idx="1">
                  <c:v>FY2022A</c:v>
                </c:pt>
                <c:pt idx="2">
                  <c:v>FY2023A</c:v>
                </c:pt>
                <c:pt idx="3">
                  <c:v>FY2024A</c:v>
                </c:pt>
                <c:pt idx="4">
                  <c:v>FY2025A</c:v>
                </c:pt>
                <c:pt idx="5">
                  <c:v>2026E</c:v>
                </c:pt>
                <c:pt idx="6">
                  <c:v>2027E</c:v>
                </c:pt>
                <c:pt idx="7">
                  <c:v>2028E</c:v>
                </c:pt>
                <c:pt idx="8">
                  <c:v>2029E</c:v>
                </c:pt>
                <c:pt idx="9">
                  <c:v>2030E</c:v>
                </c:pt>
                <c:pt idx="10">
                  <c:v>2031E</c:v>
                </c:pt>
                <c:pt idx="11">
                  <c:v>2032E</c:v>
                </c:pt>
                <c:pt idx="12">
                  <c:v>2033E</c:v>
                </c:pt>
                <c:pt idx="13">
                  <c:v>2034E</c:v>
                </c:pt>
                <c:pt idx="14">
                  <c:v>2035E</c:v>
                </c:pt>
              </c:strCache>
            </c:strRef>
          </c:cat>
          <c:val>
            <c:numRef>
              <c:f>Cover!$I$14:$I$28</c:f>
              <c:numCache>
                <c:formatCode>0.0</c:formatCode>
                <c:ptCount val="15"/>
                <c:pt idx="0">
                  <c:v>64.388000000000005</c:v>
                </c:pt>
                <c:pt idx="1">
                  <c:v>67.073999999999998</c:v>
                </c:pt>
                <c:pt idx="2">
                  <c:v>68.92</c:v>
                </c:pt>
                <c:pt idx="3">
                  <c:v>80.738</c:v>
                </c:pt>
                <c:pt idx="4">
                  <c:v>88.602999999999994</c:v>
                </c:pt>
                <c:pt idx="5">
                  <c:v>97.357470233640228</c:v>
                </c:pt>
                <c:pt idx="6">
                  <c:v>105.0130270030788</c:v>
                </c:pt>
                <c:pt idx="7">
                  <c:v>112.00409675827676</c:v>
                </c:pt>
                <c:pt idx="8">
                  <c:v>118.12690179705126</c:v>
                </c:pt>
                <c:pt idx="9">
                  <c:v>123.62753677146077</c:v>
                </c:pt>
                <c:pt idx="10">
                  <c:v>128.98083675572087</c:v>
                </c:pt>
                <c:pt idx="11">
                  <c:v>134.1408841110954</c:v>
                </c:pt>
                <c:pt idx="12">
                  <c:v>139.06196966320763</c:v>
                </c:pt>
                <c:pt idx="13">
                  <c:v>143.69941253931367</c:v>
                </c:pt>
                <c:pt idx="14">
                  <c:v>148.01039491549309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E-4640-AF24-BEF67A2E05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1475011080"/>
        <c:axId val="1475013128"/>
      </c:barChart>
      <c:lineChart>
        <c:grouping val="standard"/>
        <c:varyColors val="0"/>
        <c:ser>
          <c:idx val="1"/>
          <c:order val="1"/>
          <c:tx>
            <c:strRef>
              <c:f>Cover!$J$13</c:f>
              <c:strCache>
                <c:ptCount val="1"/>
                <c:pt idx="0">
                  <c:v>Operating margin</c:v>
                </c:pt>
              </c:strCache>
            </c:strRef>
          </c:tx>
          <c:spPr>
            <a:ln w="28575" cap="rnd" cmpd="sng" algn="ctr">
              <a:solidFill>
                <a:srgbClr val="C0000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Cover!$H$14:$H$28</c:f>
              <c:strCache>
                <c:ptCount val="15"/>
                <c:pt idx="0">
                  <c:v>FY2021A</c:v>
                </c:pt>
                <c:pt idx="1">
                  <c:v>FY2022A</c:v>
                </c:pt>
                <c:pt idx="2">
                  <c:v>FY2023A</c:v>
                </c:pt>
                <c:pt idx="3">
                  <c:v>FY2024A</c:v>
                </c:pt>
                <c:pt idx="4">
                  <c:v>FY2025A</c:v>
                </c:pt>
                <c:pt idx="5">
                  <c:v>2026E</c:v>
                </c:pt>
                <c:pt idx="6">
                  <c:v>2027E</c:v>
                </c:pt>
                <c:pt idx="7">
                  <c:v>2028E</c:v>
                </c:pt>
                <c:pt idx="8">
                  <c:v>2029E</c:v>
                </c:pt>
                <c:pt idx="9">
                  <c:v>2030E</c:v>
                </c:pt>
                <c:pt idx="10">
                  <c:v>2031E</c:v>
                </c:pt>
                <c:pt idx="11">
                  <c:v>2032E</c:v>
                </c:pt>
                <c:pt idx="12">
                  <c:v>2033E</c:v>
                </c:pt>
                <c:pt idx="13">
                  <c:v>2034E</c:v>
                </c:pt>
                <c:pt idx="14">
                  <c:v>2035E</c:v>
                </c:pt>
              </c:strCache>
            </c:strRef>
          </c:cat>
          <c:val>
            <c:numRef>
              <c:f>Cover!$J$14:$J$28</c:f>
              <c:numCache>
                <c:formatCode>0.0%</c:formatCode>
                <c:ptCount val="15"/>
                <c:pt idx="0">
                  <c:v>7.976641610237932E-2</c:v>
                </c:pt>
                <c:pt idx="1">
                  <c:v>8.2058621820675678E-2</c:v>
                </c:pt>
                <c:pt idx="2">
                  <c:v>5.1668601276842717E-2</c:v>
                </c:pt>
                <c:pt idx="3">
                  <c:v>8.097797815155193E-2</c:v>
                </c:pt>
                <c:pt idx="4">
                  <c:v>0.10496258591695541</c:v>
                </c:pt>
                <c:pt idx="5">
                  <c:v>0.11815993954129979</c:v>
                </c:pt>
                <c:pt idx="6">
                  <c:v>0.12313841310466576</c:v>
                </c:pt>
                <c:pt idx="7">
                  <c:v>0.1277687309674756</c:v>
                </c:pt>
                <c:pt idx="8">
                  <c:v>0.13263798565075696</c:v>
                </c:pt>
                <c:pt idx="9">
                  <c:v>0.13481454334208148</c:v>
                </c:pt>
                <c:pt idx="10">
                  <c:v>0.13762940249085404</c:v>
                </c:pt>
                <c:pt idx="11">
                  <c:v>0.14021761472028391</c:v>
                </c:pt>
                <c:pt idx="12">
                  <c:v>0.14261580328279511</c:v>
                </c:pt>
                <c:pt idx="13">
                  <c:v>0.14485661807079306</c:v>
                </c:pt>
                <c:pt idx="14">
                  <c:v>0.14696927959236877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8E-4640-AF24-BEF67A2E05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5354632"/>
        <c:axId val="1475287048"/>
      </c:lineChart>
      <c:catAx>
        <c:axId val="1475011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5013128"/>
        <c:crosses val="autoZero"/>
        <c:auto val="1"/>
        <c:lblAlgn val="ctr"/>
        <c:lblOffset val="100"/>
        <c:noMultiLvlLbl val="0"/>
      </c:catAx>
      <c:valAx>
        <c:axId val="1475013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5011080"/>
        <c:crosses val="autoZero"/>
        <c:crossBetween val="between"/>
      </c:valAx>
      <c:valAx>
        <c:axId val="1475287048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5354632"/>
        <c:crosses val="max"/>
        <c:crossBetween val="between"/>
      </c:valAx>
      <c:catAx>
        <c:axId val="1475354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752870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6</xdr:col>
      <xdr:colOff>0</xdr:colOff>
      <xdr:row>35</xdr:row>
      <xdr:rowOff>0</xdr:rowOff>
    </xdr:to>
    <xdr:graphicFrame macro="">
      <xdr:nvGraphicFramePr>
        <xdr:cNvPr id="2" name="FootballField">
          <a:extLst>
            <a:ext uri="{FF2B5EF4-FFF2-40B4-BE49-F238E27FC236}">
              <a16:creationId xmlns:a16="http://schemas.microsoft.com/office/drawing/2014/main" id="{B7F4EE0E-45BA-0D5B-9C0E-03CDB87B0D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37</xdr:row>
      <xdr:rowOff>0</xdr:rowOff>
    </xdr:from>
    <xdr:to>
      <xdr:col>6</xdr:col>
      <xdr:colOff>0</xdr:colOff>
      <xdr:row>51</xdr:row>
      <xdr:rowOff>0</xdr:rowOff>
    </xdr:to>
    <xdr:graphicFrame macro="">
      <xdr:nvGraphicFramePr>
        <xdr:cNvPr id="3" name="RevenueMargin">
          <a:extLst>
            <a:ext uri="{FF2B5EF4-FFF2-40B4-BE49-F238E27FC236}">
              <a16:creationId xmlns:a16="http://schemas.microsoft.com/office/drawing/2014/main" id="{35EBC5F2-3667-5079-5E8B-28D4D184A2D3}"/>
            </a:ext>
            <a:ext uri="{147F2762-F138-4A5C-976F-8EAC2B608ADB}">
              <a16:predDERef xmlns:a16="http://schemas.microsoft.com/office/drawing/2014/main" pred="{B7F4EE0E-45BA-0D5B-9C0E-03CDB87B0D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D207C5C-D38D-4838-B777-01C651384A06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a5cb2201-1e2c-4a78-85dd-463ee27b35ee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CC4FC-C12D-4A52-8B6D-56BDA9B34A73}">
  <sheetPr>
    <tabColor rgb="FF1C2B4A"/>
    <pageSetUpPr fitToPage="1"/>
  </sheetPr>
  <dimension ref="A1:Z122"/>
  <sheetViews>
    <sheetView showGridLines="0" tabSelected="1" topLeftCell="A26" workbookViewId="0"/>
  </sheetViews>
  <sheetFormatPr defaultRowHeight="15"/>
  <cols>
    <col min="1" max="1" width="38.140625" style="1" customWidth="1"/>
    <col min="2" max="2" width="16.42578125" style="1" customWidth="1"/>
    <col min="3" max="3" width="10.7109375" style="1" customWidth="1"/>
    <col min="4" max="4" width="28.5703125" style="1" customWidth="1"/>
    <col min="5" max="5" width="16.42578125" style="1" customWidth="1"/>
    <col min="6" max="6" width="7.5703125" style="1" customWidth="1"/>
    <col min="7" max="7" width="3.85546875" style="1" customWidth="1"/>
    <col min="8" max="8" width="38.140625" style="1" customWidth="1"/>
    <col min="9" max="26" width="9.140625" style="1"/>
  </cols>
  <sheetData>
    <row r="1" spans="1:26" ht="15.75">
      <c r="A1" s="70" t="s">
        <v>0</v>
      </c>
      <c r="B1" s="70"/>
      <c r="C1" s="70"/>
      <c r="D1" s="70"/>
      <c r="E1" s="70"/>
      <c r="F1" s="70"/>
      <c r="G1" s="5"/>
      <c r="H1" s="5"/>
      <c r="I1" s="5"/>
      <c r="J1" s="5"/>
      <c r="K1" s="5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>
      <c r="A2" s="71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>
      <c r="A3" s="71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s="97" t="s">
        <v>3</v>
      </c>
      <c r="B4" s="97"/>
      <c r="C4" s="97"/>
      <c r="D4" s="97"/>
      <c r="E4" s="97"/>
      <c r="F4" s="97"/>
      <c r="G4" s="5"/>
      <c r="H4" s="71" t="s">
        <v>4</v>
      </c>
      <c r="I4" s="71"/>
      <c r="J4" s="71"/>
      <c r="K4" s="71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s="137" t="s">
        <v>5</v>
      </c>
      <c r="B5" s="135" t="s">
        <v>6</v>
      </c>
      <c r="C5" s="130"/>
      <c r="D5" s="140" t="s">
        <v>7</v>
      </c>
      <c r="E5" s="147">
        <f>B18</f>
        <v>155</v>
      </c>
      <c r="F5" s="132"/>
      <c r="G5" s="5"/>
      <c r="H5" s="71" t="s">
        <v>8</v>
      </c>
      <c r="I5" s="71" t="s">
        <v>9</v>
      </c>
      <c r="J5" s="71" t="s">
        <v>10</v>
      </c>
      <c r="K5" s="71" t="s">
        <v>11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s="138" t="s">
        <v>12</v>
      </c>
      <c r="B6" s="217" t="str">
        <f>IF(AND(ISNUMBER(E5),B7&gt;E5),Assumptions!C95,Assumptions!C94)</f>
        <v>HOLD, target under review</v>
      </c>
      <c r="C6" s="129"/>
      <c r="D6" s="141"/>
      <c r="E6" s="145"/>
      <c r="F6" s="133"/>
      <c r="G6" s="5"/>
      <c r="H6" s="71"/>
      <c r="I6" s="71"/>
      <c r="J6" s="71"/>
      <c r="K6" s="71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s="138" t="s">
        <v>13</v>
      </c>
      <c r="B7" s="143">
        <f>WACC!B6</f>
        <v>191.6</v>
      </c>
      <c r="C7" s="129"/>
      <c r="D7" s="141" t="s">
        <v>14</v>
      </c>
      <c r="E7" s="144">
        <f>IF(ISNUMBER(E5),E5/B7-1,"n/d")</f>
        <v>-0.1910229645093946</v>
      </c>
      <c r="F7" s="133"/>
      <c r="G7" s="5"/>
      <c r="H7" s="71" t="str">
        <f>"DCF sensitivity (WACC +/-1.0 pt, g +/-1.0 pt)"</f>
        <v>DCF sensitivity (WACC +/-1.0 pt, g +/-1.0 pt)</v>
      </c>
      <c r="I7" s="158">
        <f>MIN(Sensitivity!C7:G11)</f>
        <v>114.59341107621752</v>
      </c>
      <c r="J7" s="158">
        <f>K7-I7</f>
        <v>117.50078633110896</v>
      </c>
      <c r="K7" s="158">
        <f>MAX(Sensitivity!C7:G11)</f>
        <v>232.09419740732648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s="138" t="s">
        <v>15</v>
      </c>
      <c r="B8" s="162" t="s">
        <v>16</v>
      </c>
      <c r="C8" s="129"/>
      <c r="D8" s="141" t="s">
        <v>17</v>
      </c>
      <c r="E8" s="143">
        <v>207.73</v>
      </c>
      <c r="F8" s="133"/>
      <c r="G8" s="5"/>
      <c r="H8" s="71" t="str">
        <f>IF(ISNUMBER('Sum-of-Parts'!F63),"Peer EV / NTM EBITDA, 25th to 75th pct","Peer multiples: n/d (no compliant consensus)")</f>
        <v>Peer EV / NTM EBITDA, 25th to 75th pct</v>
      </c>
      <c r="I8" s="158">
        <f>IF(ISNUMBER('Sum-of-Parts'!F63),'Sum-of-Parts'!F63,0)</f>
        <v>144.67161469451949</v>
      </c>
      <c r="J8" s="158">
        <f>K8-I8</f>
        <v>78.558756978959821</v>
      </c>
      <c r="K8" s="158">
        <f>IF(ISNUMBER('Sum-of-Parts'!H63),'Sum-of-Parts'!H63,0)</f>
        <v>223.23037167347931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s="138" t="s">
        <v>18</v>
      </c>
      <c r="B9" s="144">
        <f>B7/E8-1</f>
        <v>-7.7648871130794772E-2</v>
      </c>
      <c r="C9" s="129"/>
      <c r="D9" s="141" t="s">
        <v>19</v>
      </c>
      <c r="E9" s="145">
        <f>WACC!B8</f>
        <v>262127.95999999996</v>
      </c>
      <c r="F9" s="133"/>
      <c r="G9" s="5"/>
      <c r="H9" s="71" t="str">
        <f>"52-week range (month-end closes and Oct 21 close)"</f>
        <v>52-week range (month-end closes and Oct 21 close)</v>
      </c>
      <c r="I9" s="158">
        <f>'Beta Data'!H22</f>
        <v>173.03</v>
      </c>
      <c r="J9" s="158">
        <f>K9-I9</f>
        <v>41.47999999999999</v>
      </c>
      <c r="K9" s="158">
        <f>'Beta Data'!H23</f>
        <v>214.51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s="139" t="s">
        <v>20</v>
      </c>
      <c r="B10" s="136" t="s">
        <v>21</v>
      </c>
      <c r="C10" s="131"/>
      <c r="D10" s="142" t="s">
        <v>22</v>
      </c>
      <c r="E10" s="146">
        <f>WACC!B8+WACC!B11-DCF!C41</f>
        <v>292075.95999999996</v>
      </c>
      <c r="F10" s="134"/>
      <c r="G10" s="5"/>
      <c r="H10" s="71" t="str">
        <f>"Mark $"&amp;TEXT(B7,"0.00")</f>
        <v>Mark $191.60</v>
      </c>
      <c r="I10" s="158">
        <f>B7-0.6</f>
        <v>191</v>
      </c>
      <c r="J10" s="158">
        <f>1.2</f>
        <v>1.2</v>
      </c>
      <c r="K10" s="158">
        <f>B7+0.6</f>
        <v>192.2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24" customHeight="1">
      <c r="A11" s="213" t="s">
        <v>23</v>
      </c>
      <c r="B11" s="213"/>
      <c r="C11" s="213"/>
      <c r="D11" s="213"/>
      <c r="E11" s="213"/>
      <c r="F11" s="213"/>
      <c r="G11" s="5"/>
      <c r="H11" s="71" t="str">
        <f>IF(ISNUMBER(B18),"Target $"&amp;TEXT(B18,"0"),"Target: n/d")</f>
        <v>Target $155</v>
      </c>
      <c r="I11" s="158">
        <f>IF(ISNUMBER(B18),B18-0.6,0)</f>
        <v>154.4</v>
      </c>
      <c r="J11" s="158">
        <f>IF(ISNUMBER(B18),1.2,0)</f>
        <v>1.2</v>
      </c>
      <c r="K11" s="158">
        <f>I11+J11</f>
        <v>155.6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s="5"/>
      <c r="B12" s="5"/>
      <c r="C12" s="5"/>
      <c r="D12" s="5"/>
      <c r="E12" s="5"/>
      <c r="F12" s="5"/>
      <c r="G12" s="5"/>
      <c r="H12" s="71"/>
      <c r="I12" s="71"/>
      <c r="J12" s="71"/>
      <c r="K12" s="71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s="97" t="s">
        <v>24</v>
      </c>
      <c r="B13" s="97"/>
      <c r="C13" s="97"/>
      <c r="D13" s="97"/>
      <c r="E13" s="97"/>
      <c r="F13" s="97"/>
      <c r="G13" s="5"/>
      <c r="H13" s="71" t="s">
        <v>25</v>
      </c>
      <c r="I13" s="71" t="s">
        <v>26</v>
      </c>
      <c r="J13" s="71" t="s">
        <v>27</v>
      </c>
      <c r="K13" s="71" t="s">
        <v>28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26.25" customHeight="1">
      <c r="A14" s="218" t="s">
        <v>29</v>
      </c>
      <c r="B14" s="218" t="s">
        <v>30</v>
      </c>
      <c r="C14" s="218" t="s">
        <v>31</v>
      </c>
      <c r="D14" s="218" t="s">
        <v>32</v>
      </c>
      <c r="E14" s="218" t="s">
        <v>33</v>
      </c>
      <c r="F14" s="218"/>
      <c r="G14" s="5"/>
      <c r="H14" s="159" t="s">
        <v>34</v>
      </c>
      <c r="I14" s="160">
        <f>Historical!B9/1000</f>
        <v>64.388000000000005</v>
      </c>
      <c r="J14" s="161">
        <f>Historical!B20</f>
        <v>7.976641610237932E-2</v>
      </c>
      <c r="K14" s="71" t="s">
        <v>35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s="5" t="str">
        <f>"DCF (Gordon growth, WACC "&amp;TEXT(DCF!C21,"0.0%")&amp;", g "&amp;TEXT(DCF!C22,"0.0%")&amp;")"</f>
        <v>DCF (Gordon growth, WACC 8.0%, g 3.0%)</v>
      </c>
      <c r="B15" s="109">
        <f>DCF!C47</f>
        <v>151.02294504401797</v>
      </c>
      <c r="C15" s="148">
        <v>0.5</v>
      </c>
      <c r="D15" s="109">
        <f>IF(ISNUMBER(B15),B15*C15,"n/d")</f>
        <v>75.511472522008987</v>
      </c>
      <c r="E15" s="149">
        <f>IF(ISNUMBER(B15),B15/$B$7-1,"n/d")</f>
        <v>-0.21178003630470787</v>
      </c>
      <c r="F15" s="5"/>
      <c r="G15" s="5"/>
      <c r="H15" s="159" t="s">
        <v>36</v>
      </c>
      <c r="I15" s="160">
        <f>Historical!C9/1000</f>
        <v>67.073999999999998</v>
      </c>
      <c r="J15" s="161">
        <f>Historical!C20</f>
        <v>8.2058621820675678E-2</v>
      </c>
      <c r="K15" s="71" t="s">
        <v>35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s="5" t="s">
        <v>37</v>
      </c>
      <c r="B16" s="109">
        <f>'Sum-of-Parts'!G63</f>
        <v>155.45057050495805</v>
      </c>
      <c r="C16" s="148">
        <v>0.5</v>
      </c>
      <c r="D16" s="109">
        <f>IF(ISNUMBER(B16),B16*C16,"n/d")</f>
        <v>77.725285252479026</v>
      </c>
      <c r="E16" s="149">
        <f>IF(ISNUMBER(B16),B16/$B$7-1,"n/d")</f>
        <v>-0.18867134391984308</v>
      </c>
      <c r="F16" s="5"/>
      <c r="G16" s="5"/>
      <c r="H16" s="159" t="s">
        <v>38</v>
      </c>
      <c r="I16" s="160">
        <f>Historical!D9/1000</f>
        <v>68.92</v>
      </c>
      <c r="J16" s="161">
        <f>Historical!D20</f>
        <v>5.1668601276842717E-2</v>
      </c>
      <c r="K16" s="71" t="s">
        <v>35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s="112" t="s">
        <v>39</v>
      </c>
      <c r="B17" s="150">
        <f>IF(COUNT(B15:B16)=2,SUMPRODUCT(B15:B16,C15:C16),"n/d")</f>
        <v>153.23675777448801</v>
      </c>
      <c r="C17" s="151">
        <f>SUM(C15:C16)</f>
        <v>1</v>
      </c>
      <c r="D17" s="150">
        <f>IF(COUNT(D15:D16)=2,SUM(D15:D16),"n/d")</f>
        <v>153.23675777448801</v>
      </c>
      <c r="E17" s="152">
        <f>IF(ISNUMBER(B17),B17/$B$7-1,"n/d")</f>
        <v>-0.20022569011227553</v>
      </c>
      <c r="F17" s="5"/>
      <c r="G17" s="5"/>
      <c r="H17" s="159" t="s">
        <v>40</v>
      </c>
      <c r="I17" s="160">
        <f>Historical!E9/1000</f>
        <v>80.738</v>
      </c>
      <c r="J17" s="161">
        <f>Historical!E20</f>
        <v>8.097797815155193E-2</v>
      </c>
      <c r="K17" s="71" t="s">
        <v>35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s="153" t="s">
        <v>41</v>
      </c>
      <c r="B18" s="154">
        <f>IF(ISNUMBER(B17),MROUND(B17,5),"n/d")</f>
        <v>155</v>
      </c>
      <c r="C18" s="155"/>
      <c r="D18" s="155"/>
      <c r="E18" s="156">
        <f>IF(ISNUMBER(B18),B18/$B$7-1,"n/d")</f>
        <v>-0.1910229645093946</v>
      </c>
      <c r="F18" s="5"/>
      <c r="G18" s="5"/>
      <c r="H18" s="159" t="s">
        <v>42</v>
      </c>
      <c r="I18" s="160">
        <f>Historical!F9/1000</f>
        <v>88.602999999999994</v>
      </c>
      <c r="J18" s="161">
        <f>Historical!F20</f>
        <v>0.10496258591695541</v>
      </c>
      <c r="K18" s="71" t="s">
        <v>35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21.75" customHeight="1">
      <c r="A19" s="214" t="str">
        <f>"Target = 50% DCF + 50% sum-of-parts (median peer multiples), rounded to the nearest $5. Peer multiples use S&amp;P Global / MarketScreener consensus, week of October 19, 2026."</f>
        <v>Target = 50% DCF + 50% sum-of-parts (median peer multiples), rounded to the nearest $5. Peer multiples use S&amp;P Global / MarketScreener consensus, week of October 19, 2026.</v>
      </c>
      <c r="B19" s="214"/>
      <c r="C19" s="214"/>
      <c r="D19" s="214"/>
      <c r="E19" s="214"/>
      <c r="F19" s="214"/>
      <c r="G19" s="5"/>
      <c r="H19" s="159" t="s">
        <v>43</v>
      </c>
      <c r="I19" s="160">
        <f>Projections!C20/1000</f>
        <v>97.357470233640228</v>
      </c>
      <c r="J19" s="161">
        <f>Projections!C34</f>
        <v>0.11815993954129979</v>
      </c>
      <c r="K19" s="71" t="s">
        <v>44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s="5"/>
      <c r="B20" s="5"/>
      <c r="C20" s="5"/>
      <c r="D20" s="5"/>
      <c r="E20" s="5"/>
      <c r="F20" s="5"/>
      <c r="G20" s="5"/>
      <c r="H20" s="159" t="s">
        <v>45</v>
      </c>
      <c r="I20" s="160">
        <f>Projections!D20/1000</f>
        <v>105.0130270030788</v>
      </c>
      <c r="J20" s="161">
        <f>Projections!D34</f>
        <v>0.12313841310466576</v>
      </c>
      <c r="K20" s="71" t="s">
        <v>44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s="97" t="s">
        <v>46</v>
      </c>
      <c r="B21" s="97"/>
      <c r="C21" s="97"/>
      <c r="D21" s="97"/>
      <c r="E21" s="97"/>
      <c r="F21" s="97"/>
      <c r="G21" s="5"/>
      <c r="H21" s="159" t="s">
        <v>47</v>
      </c>
      <c r="I21" s="160">
        <f>Projections!E20/1000</f>
        <v>112.00409675827676</v>
      </c>
      <c r="J21" s="161">
        <f>Projections!E34</f>
        <v>0.1277687309674756</v>
      </c>
      <c r="K21" s="71" t="s">
        <v>44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s="5"/>
      <c r="B22" s="5"/>
      <c r="C22" s="5"/>
      <c r="D22" s="5"/>
      <c r="E22" s="5"/>
      <c r="F22" s="5"/>
      <c r="G22" s="5"/>
      <c r="H22" s="159" t="s">
        <v>48</v>
      </c>
      <c r="I22" s="160">
        <f>Projections!F20/1000</f>
        <v>118.12690179705126</v>
      </c>
      <c r="J22" s="161">
        <f>Projections!F34</f>
        <v>0.13263798565075696</v>
      </c>
      <c r="K22" s="71" t="s">
        <v>44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s="5"/>
      <c r="B23" s="5"/>
      <c r="C23" s="5"/>
      <c r="D23" s="5"/>
      <c r="E23" s="5"/>
      <c r="F23" s="5"/>
      <c r="G23" s="5"/>
      <c r="H23" s="159" t="s">
        <v>49</v>
      </c>
      <c r="I23" s="160">
        <f>Projections!G20/1000</f>
        <v>123.62753677146077</v>
      </c>
      <c r="J23" s="161">
        <f>Projections!G34</f>
        <v>0.13481454334208148</v>
      </c>
      <c r="K23" s="71" t="s">
        <v>44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>
      <c r="A24" s="5"/>
      <c r="B24" s="5"/>
      <c r="C24" s="5"/>
      <c r="D24" s="5"/>
      <c r="E24" s="5"/>
      <c r="F24" s="5"/>
      <c r="G24" s="5"/>
      <c r="H24" s="159" t="s">
        <v>50</v>
      </c>
      <c r="I24" s="160">
        <f>Projections!H20/1000</f>
        <v>128.98083675572087</v>
      </c>
      <c r="J24" s="161">
        <f>Projections!H34</f>
        <v>0.13762940249085404</v>
      </c>
      <c r="K24" s="71" t="s">
        <v>44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s="5"/>
      <c r="B25" s="5"/>
      <c r="C25" s="5"/>
      <c r="D25" s="5"/>
      <c r="E25" s="5"/>
      <c r="F25" s="5"/>
      <c r="G25" s="5"/>
      <c r="H25" s="159" t="s">
        <v>51</v>
      </c>
      <c r="I25" s="160">
        <f>Projections!I20/1000</f>
        <v>134.1408841110954</v>
      </c>
      <c r="J25" s="161">
        <f>Projections!I34</f>
        <v>0.14021761472028391</v>
      </c>
      <c r="K25" s="71" t="s">
        <v>44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s="5"/>
      <c r="B26" s="5"/>
      <c r="C26" s="5"/>
      <c r="D26" s="5"/>
      <c r="E26" s="5"/>
      <c r="F26" s="5"/>
      <c r="G26" s="5"/>
      <c r="H26" s="159" t="s">
        <v>52</v>
      </c>
      <c r="I26" s="160">
        <f>Projections!J20/1000</f>
        <v>139.06196966320763</v>
      </c>
      <c r="J26" s="161">
        <f>Projections!J34</f>
        <v>0.14261580328279511</v>
      </c>
      <c r="K26" s="71" t="s">
        <v>44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s="5"/>
      <c r="B27" s="5"/>
      <c r="C27" s="5"/>
      <c r="D27" s="5"/>
      <c r="E27" s="5"/>
      <c r="F27" s="5"/>
      <c r="G27" s="5"/>
      <c r="H27" s="159" t="s">
        <v>53</v>
      </c>
      <c r="I27" s="160">
        <f>Projections!K20/1000</f>
        <v>143.69941253931367</v>
      </c>
      <c r="J27" s="161">
        <f>Projections!K34</f>
        <v>0.14485661807079306</v>
      </c>
      <c r="K27" s="71" t="s">
        <v>44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s="5"/>
      <c r="B28" s="5"/>
      <c r="C28" s="5"/>
      <c r="D28" s="5"/>
      <c r="E28" s="5"/>
      <c r="F28" s="5"/>
      <c r="G28" s="5"/>
      <c r="H28" s="159" t="s">
        <v>54</v>
      </c>
      <c r="I28" s="160">
        <f>Projections!L20/1000</f>
        <v>148.01039491549309</v>
      </c>
      <c r="J28" s="161">
        <f>Projections!L34</f>
        <v>0.14696927959236877</v>
      </c>
      <c r="K28" s="71" t="s">
        <v>44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>
      <c r="A37" s="97" t="s">
        <v>55</v>
      </c>
      <c r="B37" s="97"/>
      <c r="C37" s="97"/>
      <c r="D37" s="97"/>
      <c r="E37" s="97"/>
      <c r="F37" s="97"/>
      <c r="G37" s="5"/>
      <c r="H37" s="5"/>
      <c r="I37" s="5"/>
      <c r="J37" s="5"/>
      <c r="K37" s="5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>
      <c r="A53" s="97" t="s">
        <v>56</v>
      </c>
      <c r="B53" s="97"/>
      <c r="C53" s="97"/>
      <c r="D53" s="97"/>
      <c r="E53" s="97"/>
      <c r="F53" s="97"/>
      <c r="G53" s="5"/>
      <c r="H53" s="5"/>
      <c r="I53" s="5"/>
      <c r="J53" s="5"/>
      <c r="K53" s="5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>
      <c r="A54" s="212" t="str">
        <f>"1. DCF value $"&amp;TEXT(DCF!C47,"0.00")&amp;" per share vs mark $"&amp;TEXT(WACC!B6,"0.00")&amp;", "&amp;TEXT(DCF!C49,"0.0%;(0.0%)")&amp;". Terminal value is "&amp;TEXT(DCF!C38,"0.0%")&amp;" of EV."</f>
        <v>1. DCF value $151.02 per share vs mark $191.60, (21.2%). Terminal value is 63.5% of EV.</v>
      </c>
      <c r="B54" s="212"/>
      <c r="C54" s="212"/>
      <c r="D54" s="212"/>
      <c r="E54" s="212"/>
      <c r="F54" s="212"/>
      <c r="G54" s="5"/>
      <c r="H54" s="5"/>
      <c r="I54" s="5"/>
      <c r="J54" s="5"/>
      <c r="K54" s="5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24" customHeight="1">
      <c r="A55" s="212" t="str">
        <f>"2. WACC "&amp;TEXT(WACC!B47,"0.00%")&amp;": bottom-up beta "&amp;TEXT(WACC!B25,"0.00")&amp;" (Damodaran Aerospace/Defense 0.87 relevered at 21%); regression beta 0.32 has R-squared 0.04 and is not used."</f>
        <v>2. WACC 8.04%: bottom-up beta 0.97 (Damodaran Aerospace/Defense 0.87 relevered at 21%); regression beta 0.32 has R-squared 0.04 and is not used.</v>
      </c>
      <c r="B55" s="212"/>
      <c r="C55" s="212"/>
      <c r="D55" s="212"/>
      <c r="E55" s="212"/>
      <c r="F55" s="212"/>
      <c r="G55" s="5"/>
      <c r="H55" s="5"/>
      <c r="I55" s="5"/>
      <c r="J55" s="5"/>
      <c r="K55" s="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>
      <c r="A56" s="212" t="s">
        <v>57</v>
      </c>
      <c r="B56" s="212"/>
      <c r="C56" s="212"/>
      <c r="D56" s="212"/>
      <c r="E56" s="212"/>
      <c r="F56" s="212"/>
      <c r="G56" s="5"/>
      <c r="H56" s="5"/>
      <c r="I56" s="5"/>
      <c r="J56" s="5"/>
      <c r="K56" s="5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>
      <c r="A57" s="212" t="s">
        <v>58</v>
      </c>
      <c r="B57" s="212"/>
      <c r="C57" s="212"/>
      <c r="D57" s="212"/>
      <c r="E57" s="212"/>
      <c r="F57" s="212"/>
      <c r="G57" s="5"/>
      <c r="H57" s="5"/>
      <c r="I57" s="5"/>
      <c r="J57" s="5"/>
      <c r="K57" s="5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>
      <c r="A58" s="212" t="str">
        <f>"5. 2026E net sales $"&amp;TEXT(Projections!C20/1000,"0.0")&amp;" billion vs company outlook $97.0 to $97.5 billion (Oct 20, 2026)."</f>
        <v>5. 2026E net sales $97.4 billion vs company outlook $97.0 to $97.5 billion (Oct 20, 2026).</v>
      </c>
      <c r="B58" s="212"/>
      <c r="C58" s="212"/>
      <c r="D58" s="212"/>
      <c r="E58" s="212"/>
      <c r="F58" s="212"/>
      <c r="G58" s="5"/>
      <c r="H58" s="5"/>
      <c r="I58" s="5"/>
      <c r="J58" s="5"/>
      <c r="K58" s="5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24" customHeight="1">
      <c r="A59" s="212" t="str">
        <f>"6. Sum-of-parts $"&amp;TEXT('Sum-of-Parts'!G63,"0.00")&amp;" at median peer EV / NTM EBITDA (commercial aero "&amp;TEXT('Sum-of-Parts'!F12,"0.0x")&amp;", defense primes "&amp;TEXT('Sum-of-Parts'!F22,"0.0x")&amp;"); consensus is S&amp;P Global / MarketScreener, week of October 19, 2026."</f>
        <v>6. Sum-of-parts $155.45 at median peer EV / NTM EBITDA (commercial aero 15.6x, defense primes 12.8x); consensus is S&amp;P Global / MarketScreener, week of October 19, 2026.</v>
      </c>
      <c r="B59" s="212"/>
      <c r="C59" s="212"/>
      <c r="D59" s="212"/>
      <c r="E59" s="212"/>
      <c r="F59" s="212"/>
      <c r="G59" s="5"/>
      <c r="H59" s="5"/>
      <c r="I59" s="5"/>
      <c r="J59" s="5"/>
      <c r="K59" s="5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s="212" t="s">
        <v>59</v>
      </c>
      <c r="B60" s="212"/>
      <c r="C60" s="212"/>
      <c r="D60" s="212"/>
      <c r="E60" s="212"/>
      <c r="F60" s="212"/>
      <c r="G60" s="5"/>
      <c r="H60" s="5"/>
      <c r="I60" s="5"/>
      <c r="J60" s="5"/>
      <c r="K60" s="5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>
      <c r="A61" s="219" t="s">
        <v>60</v>
      </c>
      <c r="B61" s="219"/>
      <c r="C61" s="219"/>
      <c r="D61" s="219"/>
      <c r="E61" s="219"/>
      <c r="F61" s="219"/>
      <c r="G61" s="5"/>
      <c r="H61" s="5"/>
      <c r="I61" s="5"/>
      <c r="J61" s="5"/>
      <c r="K61" s="5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>
      <c r="A63" s="97" t="s">
        <v>61</v>
      </c>
      <c r="B63" s="97"/>
      <c r="C63" s="97"/>
      <c r="D63" s="97"/>
      <c r="E63" s="97"/>
      <c r="F63" s="97"/>
      <c r="G63" s="5"/>
      <c r="H63" s="5"/>
      <c r="I63" s="5"/>
      <c r="J63" s="5"/>
      <c r="K63" s="5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>
      <c r="A64" s="157" t="s">
        <v>62</v>
      </c>
      <c r="B64" s="71" t="s">
        <v>63</v>
      </c>
      <c r="C64" s="5"/>
      <c r="D64" s="5"/>
      <c r="E64" s="5"/>
      <c r="F64" s="5"/>
      <c r="G64" s="5"/>
      <c r="H64" s="5"/>
      <c r="I64" s="5"/>
      <c r="J64" s="5"/>
      <c r="K64" s="5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>
      <c r="A65" s="157" t="s">
        <v>64</v>
      </c>
      <c r="B65" s="71" t="s">
        <v>65</v>
      </c>
      <c r="C65" s="5"/>
      <c r="D65" s="5"/>
      <c r="E65" s="5"/>
      <c r="F65" s="5"/>
      <c r="G65" s="5"/>
      <c r="H65" s="5"/>
      <c r="I65" s="5"/>
      <c r="J65" s="5"/>
      <c r="K65" s="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>
      <c r="A66" s="157" t="s">
        <v>66</v>
      </c>
      <c r="B66" s="71" t="s">
        <v>67</v>
      </c>
      <c r="C66" s="5"/>
      <c r="D66" s="5"/>
      <c r="E66" s="5"/>
      <c r="F66" s="5"/>
      <c r="G66" s="5"/>
      <c r="H66" s="5"/>
      <c r="I66" s="5"/>
      <c r="J66" s="5"/>
      <c r="K66" s="5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>
      <c r="A67" s="157" t="s">
        <v>68</v>
      </c>
      <c r="B67" s="71" t="s">
        <v>69</v>
      </c>
      <c r="C67" s="5"/>
      <c r="D67" s="5"/>
      <c r="E67" s="5"/>
      <c r="F67" s="5"/>
      <c r="G67" s="5"/>
      <c r="H67" s="5"/>
      <c r="I67" s="5"/>
      <c r="J67" s="5"/>
      <c r="K67" s="5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>
      <c r="A68" s="157" t="s">
        <v>70</v>
      </c>
      <c r="B68" s="71" t="s">
        <v>71</v>
      </c>
      <c r="C68" s="5"/>
      <c r="D68" s="5"/>
      <c r="E68" s="5"/>
      <c r="F68" s="5"/>
      <c r="G68" s="5"/>
      <c r="H68" s="5"/>
      <c r="I68" s="5"/>
      <c r="J68" s="5"/>
      <c r="K68" s="5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>
      <c r="A69" s="157" t="s">
        <v>72</v>
      </c>
      <c r="B69" s="71" t="s">
        <v>73</v>
      </c>
      <c r="C69" s="5"/>
      <c r="D69" s="5"/>
      <c r="E69" s="5"/>
      <c r="F69" s="5"/>
      <c r="G69" s="5"/>
      <c r="H69" s="5"/>
      <c r="I69" s="5"/>
      <c r="J69" s="5"/>
      <c r="K69" s="5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>
      <c r="A70" s="157" t="s">
        <v>74</v>
      </c>
      <c r="B70" s="71" t="s">
        <v>75</v>
      </c>
      <c r="C70" s="5"/>
      <c r="D70" s="5"/>
      <c r="E70" s="5"/>
      <c r="F70" s="5"/>
      <c r="G70" s="5"/>
      <c r="H70" s="5"/>
      <c r="I70" s="5"/>
      <c r="J70" s="5"/>
      <c r="K70" s="5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>
      <c r="A71" s="157" t="s">
        <v>76</v>
      </c>
      <c r="B71" s="71" t="s">
        <v>77</v>
      </c>
      <c r="C71" s="5"/>
      <c r="D71" s="5"/>
      <c r="E71" s="5"/>
      <c r="F71" s="5"/>
      <c r="G71" s="5"/>
      <c r="H71" s="5"/>
      <c r="I71" s="5"/>
      <c r="J71" s="5"/>
      <c r="K71" s="5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>
      <c r="A72" s="157" t="s">
        <v>78</v>
      </c>
      <c r="B72" s="71" t="s">
        <v>79</v>
      </c>
      <c r="C72" s="5"/>
      <c r="D72" s="5"/>
      <c r="E72" s="5"/>
      <c r="F72" s="5"/>
      <c r="G72" s="5"/>
      <c r="H72" s="5"/>
      <c r="I72" s="5"/>
      <c r="J72" s="5"/>
      <c r="K72" s="5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>
      <c r="A73" s="157" t="s">
        <v>80</v>
      </c>
      <c r="B73" s="71" t="s">
        <v>81</v>
      </c>
      <c r="C73" s="5"/>
      <c r="D73" s="5"/>
      <c r="E73" s="5"/>
      <c r="F73" s="5"/>
      <c r="G73" s="5"/>
      <c r="H73" s="5"/>
      <c r="I73" s="5"/>
      <c r="J73" s="5"/>
      <c r="K73" s="5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>
      <c r="A74" s="128" t="s">
        <v>82</v>
      </c>
      <c r="B74" s="71" t="s">
        <v>83</v>
      </c>
      <c r="C74" s="5"/>
      <c r="D74" s="5"/>
      <c r="E74" s="5"/>
      <c r="F74" s="5"/>
      <c r="G74" s="5"/>
      <c r="H74" s="5"/>
      <c r="I74" s="5"/>
      <c r="J74" s="5"/>
      <c r="K74" s="5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</sheetData>
  <mergeCells count="10">
    <mergeCell ref="A61:F61"/>
    <mergeCell ref="A58:F58"/>
    <mergeCell ref="A59:F59"/>
    <mergeCell ref="A60:F60"/>
    <mergeCell ref="A11:F11"/>
    <mergeCell ref="A19:F19"/>
    <mergeCell ref="A54:F54"/>
    <mergeCell ref="A55:F55"/>
    <mergeCell ref="A56:F56"/>
    <mergeCell ref="A57:F57"/>
  </mergeCells>
  <hyperlinks>
    <hyperlink ref="A64" location="'Assumptions'!A1" tooltip="Go to Assumptions" display="Assumptions" xr:uid="{57DBE0C6-A5A8-4478-B306-D9BE423973EC}"/>
    <hyperlink ref="A65" location="'Historical'!A1" tooltip="Go to Historical" display="Historical" xr:uid="{3B9BA38C-9CAA-40AE-8209-94E5D7368783}"/>
    <hyperlink ref="A66" location="'Projections'!A1" tooltip="Go to Projections" display="Projections" xr:uid="{105BF221-8351-49FA-8A8F-FD742917A860}"/>
    <hyperlink ref="A67" location="'Beta Data'!A1" tooltip="Go to Beta Data" display="Beta Data" xr:uid="{ED0B67B1-D64C-41E9-9118-2220FDCDADDF}"/>
    <hyperlink ref="A68" location="'WACC'!A1" tooltip="Go to WACC" display="WACC" xr:uid="{0F6451E3-1991-4BAF-9AB1-ED2D1FDE421A}"/>
    <hyperlink ref="A69" location="'DCF'!A1" tooltip="Go to DCF" display="DCF" xr:uid="{104C4832-80CC-41AF-B6FC-880CB6484B0D}"/>
    <hyperlink ref="A70" location="'Sensitivity'!A1" tooltip="Go to Sensitivity" display="Sensitivity" xr:uid="{B2B1AB8D-8D23-4BEE-8DC5-8D20321F7409}"/>
    <hyperlink ref="A71" location="'Sum-of-Parts'!A1" tooltip="Go to Sum-of-Parts" display="Sum-of-Parts" xr:uid="{56CD576E-1C47-43EA-86B9-BEA09F2A7BAF}"/>
    <hyperlink ref="A72" location="'Peer Data'!A1" tooltip="Go to Peer Data" display="Peer Data" xr:uid="{F94EEA17-A490-4047-8909-63B3F075935E}"/>
    <hyperlink ref="A73" location="'Checks'!A1" tooltip="Go to Checks" display="Checks" xr:uid="{E2B5DBD4-EE2A-4227-A7B5-33B0BE56E7AB}"/>
    <hyperlink ref="A74" location="'QIS Audit'!A1" tooltip="Go to QIS Audit" display="QIS Audit" xr:uid="{0C519A50-D67D-4899-A221-D220DAE587C3}"/>
  </hyperlinks>
  <printOptions horizontalCentered="1" gridLinesSet="0"/>
  <pageMargins left="0.5" right="0.5" top="0.5" bottom="0.5" header="0.25" footer="0.25"/>
  <pageSetup firstPageNumber="0" orientation="portrait" horizontalDpi="0" verticalDpi="0" copies="0"/>
  <headerFooter>
    <oddFooter>&amp;C&amp;"Arial"&amp;8Point Alpha Capital | PA-RTX-Model | Cover |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03BAE-51CC-4605-ADF8-3A9773755706}">
  <sheetPr>
    <tabColor rgb="FFA6A6A6"/>
    <pageSetUpPr fitToPage="1"/>
  </sheetPr>
  <dimension ref="A1:Z95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26" width="9.140625" style="1"/>
  </cols>
  <sheetData>
    <row r="1" spans="1:13">
      <c r="A1" s="1" t="s">
        <v>84</v>
      </c>
    </row>
    <row r="2" spans="1:13">
      <c r="A2" s="1" t="s">
        <v>85</v>
      </c>
    </row>
    <row r="4" spans="1:13">
      <c r="A4" s="23" t="s">
        <v>86</v>
      </c>
      <c r="B4" s="181" t="s">
        <v>42</v>
      </c>
      <c r="C4" s="23" t="s">
        <v>43</v>
      </c>
      <c r="D4" s="23" t="s">
        <v>45</v>
      </c>
      <c r="E4" s="23" t="s">
        <v>47</v>
      </c>
      <c r="F4" s="23" t="s">
        <v>48</v>
      </c>
      <c r="G4" s="23" t="s">
        <v>49</v>
      </c>
      <c r="H4" s="23" t="s">
        <v>50</v>
      </c>
      <c r="I4" s="23" t="s">
        <v>51</v>
      </c>
      <c r="J4" s="23" t="s">
        <v>52</v>
      </c>
      <c r="K4" s="23" t="s">
        <v>53</v>
      </c>
      <c r="L4" s="23" t="s">
        <v>54</v>
      </c>
      <c r="M4" s="23" t="s">
        <v>87</v>
      </c>
    </row>
    <row r="5" spans="1:13" ht="20.25">
      <c r="A5" s="1" t="s">
        <v>88</v>
      </c>
      <c r="B5" s="182"/>
      <c r="C5" s="51">
        <v>1</v>
      </c>
      <c r="D5" s="50">
        <f>C5+1</f>
        <v>2</v>
      </c>
      <c r="E5" s="50">
        <f>D5+1</f>
        <v>3</v>
      </c>
      <c r="F5" s="50">
        <f>E5+1</f>
        <v>4</v>
      </c>
      <c r="G5" s="50">
        <f>F5+1</f>
        <v>5</v>
      </c>
      <c r="H5" s="50">
        <f>G5+1</f>
        <v>6</v>
      </c>
      <c r="I5" s="50">
        <f>H5+1</f>
        <v>7</v>
      </c>
      <c r="J5" s="50">
        <f>I5+1</f>
        <v>8</v>
      </c>
      <c r="K5" s="50">
        <f>J5+1</f>
        <v>9</v>
      </c>
      <c r="L5" s="50">
        <f>K5+1</f>
        <v>10</v>
      </c>
      <c r="M5" s="163" t="s">
        <v>89</v>
      </c>
    </row>
    <row r="6" spans="1:13">
      <c r="A6" s="2" t="s">
        <v>90</v>
      </c>
      <c r="B6" s="168"/>
      <c r="C6" s="29"/>
      <c r="D6" s="29"/>
      <c r="E6" s="29"/>
      <c r="F6" s="29"/>
      <c r="G6" s="29"/>
      <c r="H6" s="29"/>
      <c r="I6" s="29"/>
      <c r="J6" s="29"/>
      <c r="K6" s="29"/>
      <c r="L6" s="29"/>
      <c r="M6" s="30"/>
    </row>
    <row r="7" spans="1:13" ht="51">
      <c r="A7" s="1" t="s">
        <v>91</v>
      </c>
      <c r="B7" s="174"/>
      <c r="C7" s="22">
        <v>0.03</v>
      </c>
      <c r="D7" s="15"/>
      <c r="E7" s="15"/>
      <c r="F7" s="15"/>
      <c r="G7" s="15"/>
      <c r="H7" s="15"/>
      <c r="I7" s="15"/>
      <c r="J7" s="15"/>
      <c r="K7" s="15"/>
      <c r="L7" s="15"/>
      <c r="M7" s="163" t="s">
        <v>92</v>
      </c>
    </row>
    <row r="8" spans="1:13" ht="335.25">
      <c r="A8" s="1" t="s">
        <v>93</v>
      </c>
      <c r="B8" s="174"/>
      <c r="C8" s="54">
        <f>Historical!J19*(1-Historical!J27)/(Historical!J139+Historical!J131+Historical!J142-Historical!J106-Historical!J115)</f>
        <v>0.19865925883344693</v>
      </c>
      <c r="D8" s="15"/>
      <c r="E8" s="15"/>
      <c r="F8" s="15"/>
      <c r="G8" s="15"/>
      <c r="H8" s="15"/>
      <c r="I8" s="15"/>
      <c r="J8" s="15"/>
      <c r="K8" s="15"/>
      <c r="L8" s="15"/>
      <c r="M8" s="163" t="s">
        <v>94</v>
      </c>
    </row>
    <row r="9" spans="1:13">
      <c r="A9" s="1" t="s">
        <v>95</v>
      </c>
      <c r="B9" s="182"/>
      <c r="C9" s="51">
        <v>365</v>
      </c>
      <c r="D9" s="50"/>
      <c r="E9" s="50"/>
      <c r="F9" s="50"/>
      <c r="G9" s="50"/>
      <c r="H9" s="50"/>
      <c r="I9" s="50"/>
      <c r="J9" s="50"/>
      <c r="K9" s="50"/>
      <c r="L9" s="50"/>
      <c r="M9" s="163" t="s">
        <v>96</v>
      </c>
    </row>
    <row r="10" spans="1:13">
      <c r="A10" s="1" t="s">
        <v>97</v>
      </c>
      <c r="B10" s="183"/>
      <c r="C10" s="53">
        <f>WACC!B5</f>
        <v>46317</v>
      </c>
      <c r="D10" s="41"/>
      <c r="E10" s="41"/>
      <c r="F10" s="41"/>
      <c r="G10" s="41"/>
      <c r="H10" s="41"/>
      <c r="I10" s="41"/>
      <c r="J10" s="41"/>
      <c r="K10" s="41"/>
      <c r="L10" s="41"/>
      <c r="M10" s="163" t="s">
        <v>98</v>
      </c>
    </row>
    <row r="11" spans="1:13" ht="71.25">
      <c r="A11" s="1" t="s">
        <v>99</v>
      </c>
      <c r="B11" s="183"/>
      <c r="C11" s="41">
        <f>DATE(2026,9,30)</f>
        <v>46295</v>
      </c>
      <c r="D11" s="41"/>
      <c r="E11" s="41"/>
      <c r="F11" s="41"/>
      <c r="G11" s="41"/>
      <c r="H11" s="41"/>
      <c r="I11" s="41"/>
      <c r="J11" s="41"/>
      <c r="K11" s="41"/>
      <c r="L11" s="41"/>
      <c r="M11" s="163" t="s">
        <v>100</v>
      </c>
    </row>
    <row r="12" spans="1:13" ht="41.25">
      <c r="A12" s="1" t="s">
        <v>101</v>
      </c>
      <c r="B12" s="183"/>
      <c r="C12" s="41">
        <f>DATE(2026,12,31)</f>
        <v>46387</v>
      </c>
      <c r="D12" s="41"/>
      <c r="E12" s="41"/>
      <c r="F12" s="41"/>
      <c r="G12" s="41"/>
      <c r="H12" s="41"/>
      <c r="I12" s="41"/>
      <c r="J12" s="41"/>
      <c r="K12" s="41"/>
      <c r="L12" s="41"/>
      <c r="M12" s="163" t="s">
        <v>102</v>
      </c>
    </row>
    <row r="13" spans="1:13" ht="91.5">
      <c r="A13" s="1" t="s">
        <v>103</v>
      </c>
      <c r="B13" s="174"/>
      <c r="C13" s="15">
        <f>(C12-C11)/C9</f>
        <v>0.25205479452054796</v>
      </c>
      <c r="D13" s="15"/>
      <c r="E13" s="15"/>
      <c r="F13" s="15"/>
      <c r="G13" s="15"/>
      <c r="H13" s="15"/>
      <c r="I13" s="15"/>
      <c r="J13" s="15"/>
      <c r="K13" s="15"/>
      <c r="L13" s="15"/>
      <c r="M13" s="163" t="s">
        <v>104</v>
      </c>
    </row>
    <row r="14" spans="1:13" ht="81">
      <c r="A14" s="1" t="s">
        <v>105</v>
      </c>
      <c r="B14" s="184"/>
      <c r="C14" s="27">
        <f>(C12-C10)/C9</f>
        <v>0.19178082191780821</v>
      </c>
      <c r="D14" s="27"/>
      <c r="E14" s="27"/>
      <c r="F14" s="27"/>
      <c r="G14" s="27"/>
      <c r="H14" s="27"/>
      <c r="I14" s="27"/>
      <c r="J14" s="27"/>
      <c r="K14" s="27"/>
      <c r="L14" s="27"/>
      <c r="M14" s="163" t="s">
        <v>106</v>
      </c>
    </row>
    <row r="15" spans="1:13">
      <c r="A15" s="2" t="s">
        <v>107</v>
      </c>
      <c r="B15" s="16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30"/>
    </row>
    <row r="16" spans="1:13">
      <c r="A16" s="7" t="s">
        <v>108</v>
      </c>
      <c r="B16" s="169"/>
      <c r="C16" s="6"/>
      <c r="D16" s="6"/>
      <c r="E16" s="6"/>
      <c r="F16" s="6"/>
      <c r="G16" s="6"/>
      <c r="H16" s="6"/>
      <c r="I16" s="6"/>
      <c r="J16" s="6"/>
      <c r="K16" s="6"/>
      <c r="L16" s="6"/>
      <c r="M16" s="163"/>
    </row>
    <row r="17" spans="1:13" ht="122.25">
      <c r="A17" s="1" t="s">
        <v>109</v>
      </c>
      <c r="B17" s="185">
        <f>(Historical!F77+Historical!F78)/Historical!F41</f>
        <v>0.71098821035898796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3" t="s">
        <v>110</v>
      </c>
    </row>
    <row r="18" spans="1:13" ht="60.75">
      <c r="A18" s="1" t="s">
        <v>111</v>
      </c>
      <c r="B18" s="174"/>
      <c r="C18" s="22">
        <v>0.12</v>
      </c>
      <c r="D18" s="15"/>
      <c r="E18" s="15"/>
      <c r="F18" s="15"/>
      <c r="G18" s="15"/>
      <c r="H18" s="15"/>
      <c r="I18" s="15"/>
      <c r="J18" s="15"/>
      <c r="K18" s="15"/>
      <c r="L18" s="15"/>
      <c r="M18" s="163" t="s">
        <v>112</v>
      </c>
    </row>
    <row r="19" spans="1:13" ht="274.5">
      <c r="A19" s="1" t="s">
        <v>113</v>
      </c>
      <c r="B19" s="174"/>
      <c r="C19" s="54">
        <f>(C18-(1-B17)*Historical!I99-B17*Historical!I97)/(B17*(Historical!I98-Historical!I97))</f>
        <v>0.64053818462500767</v>
      </c>
      <c r="D19" s="15"/>
      <c r="E19" s="15"/>
      <c r="F19" s="15"/>
      <c r="G19" s="15"/>
      <c r="H19" s="15"/>
      <c r="I19" s="15"/>
      <c r="J19" s="15"/>
      <c r="K19" s="15"/>
      <c r="L19" s="15"/>
      <c r="M19" s="163" t="s">
        <v>114</v>
      </c>
    </row>
    <row r="20" spans="1:13" ht="213.75">
      <c r="A20" s="1" t="s">
        <v>115</v>
      </c>
      <c r="B20" s="174"/>
      <c r="C20" s="22">
        <v>0.13</v>
      </c>
      <c r="D20" s="22">
        <v>0.08</v>
      </c>
      <c r="E20" s="22">
        <v>7.0000000000000007E-2</v>
      </c>
      <c r="F20" s="22">
        <v>0.06</v>
      </c>
      <c r="G20" s="22">
        <v>0.05</v>
      </c>
      <c r="H20" s="15">
        <f>$G20+(C7-$G20)*(H5-5)/5</f>
        <v>4.5999999999999999E-2</v>
      </c>
      <c r="I20" s="15">
        <f>$G20+(C7-$G20)*(I5-5)/5</f>
        <v>4.2000000000000003E-2</v>
      </c>
      <c r="J20" s="15">
        <f>$G20+(C7-$G20)*(J5-5)/5</f>
        <v>3.7999999999999999E-2</v>
      </c>
      <c r="K20" s="15">
        <f>$G20+(C7-$G20)*(K5-5)/5</f>
        <v>3.4000000000000002E-2</v>
      </c>
      <c r="L20" s="15">
        <f>$G20+(C7-$G20)*(L5-5)/5</f>
        <v>0.03</v>
      </c>
      <c r="M20" s="163" t="s">
        <v>116</v>
      </c>
    </row>
    <row r="21" spans="1:13" ht="132">
      <c r="A21" s="1" t="s">
        <v>117</v>
      </c>
      <c r="B21" s="174"/>
      <c r="C21" s="22">
        <v>0.06</v>
      </c>
      <c r="D21" s="22">
        <v>0.08</v>
      </c>
      <c r="E21" s="22">
        <v>7.0000000000000007E-2</v>
      </c>
      <c r="F21" s="22">
        <v>0.06</v>
      </c>
      <c r="G21" s="22">
        <v>0.05</v>
      </c>
      <c r="H21" s="15">
        <f>$G21+(C7-$G21)*(H5-5)/5</f>
        <v>4.5999999999999999E-2</v>
      </c>
      <c r="I21" s="15">
        <f>$G21+(C7-$G21)*(I5-5)/5</f>
        <v>4.2000000000000003E-2</v>
      </c>
      <c r="J21" s="15">
        <f>$G21+(C7-$G21)*(J5-5)/5</f>
        <v>3.7999999999999999E-2</v>
      </c>
      <c r="K21" s="15">
        <f>$G21+(C7-$G21)*(K5-5)/5</f>
        <v>3.4000000000000002E-2</v>
      </c>
      <c r="L21" s="15">
        <f>$G21+(C7-$G21)*(L5-5)/5</f>
        <v>0.03</v>
      </c>
      <c r="M21" s="163" t="s">
        <v>118</v>
      </c>
    </row>
    <row r="22" spans="1:13" ht="101.25">
      <c r="A22" s="1" t="s">
        <v>119</v>
      </c>
      <c r="B22" s="174"/>
      <c r="C22" s="22">
        <v>0.04</v>
      </c>
      <c r="D22" s="22">
        <v>0.05</v>
      </c>
      <c r="E22" s="22">
        <v>0.05</v>
      </c>
      <c r="F22" s="22">
        <v>0.04</v>
      </c>
      <c r="G22" s="22">
        <v>0.04</v>
      </c>
      <c r="H22" s="15">
        <f>$G22+(C7-$G22)*(H5-5)/5</f>
        <v>3.7999999999999999E-2</v>
      </c>
      <c r="I22" s="15">
        <f>$G22+(C7-$G22)*(I5-5)/5</f>
        <v>3.5999999999999997E-2</v>
      </c>
      <c r="J22" s="15">
        <f>$G22+(C7-$G22)*(J5-5)/5</f>
        <v>3.4000000000000002E-2</v>
      </c>
      <c r="K22" s="15">
        <f>$G22+(C7-$G22)*(K5-5)/5</f>
        <v>3.2000000000000001E-2</v>
      </c>
      <c r="L22" s="15">
        <f>$G22+(C7-$G22)*(L5-5)/5</f>
        <v>0.03</v>
      </c>
      <c r="M22" s="163" t="s">
        <v>120</v>
      </c>
    </row>
    <row r="23" spans="1:13">
      <c r="A23" s="7" t="s">
        <v>121</v>
      </c>
      <c r="B23" s="169"/>
      <c r="C23" s="6"/>
      <c r="D23" s="6"/>
      <c r="E23" s="6"/>
      <c r="F23" s="6"/>
      <c r="G23" s="6"/>
      <c r="H23" s="6"/>
      <c r="I23" s="6"/>
      <c r="J23" s="6"/>
      <c r="K23" s="6"/>
      <c r="L23" s="6"/>
      <c r="M23" s="163"/>
    </row>
    <row r="24" spans="1:13" ht="101.25">
      <c r="A24" s="1" t="s">
        <v>109</v>
      </c>
      <c r="B24" s="185">
        <f>(Historical!F84+Historical!F85)/Historical!F42</f>
        <v>0.71576133187507596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63" t="s">
        <v>122</v>
      </c>
    </row>
    <row r="25" spans="1:13" ht="91.5">
      <c r="A25" s="1" t="s">
        <v>111</v>
      </c>
      <c r="B25" s="174"/>
      <c r="C25" s="22">
        <v>0.1</v>
      </c>
      <c r="D25" s="15"/>
      <c r="E25" s="15"/>
      <c r="F25" s="15"/>
      <c r="G25" s="15"/>
      <c r="H25" s="15"/>
      <c r="I25" s="15"/>
      <c r="J25" s="15"/>
      <c r="K25" s="15"/>
      <c r="L25" s="15"/>
      <c r="M25" s="163" t="s">
        <v>123</v>
      </c>
    </row>
    <row r="26" spans="1:13" ht="81">
      <c r="A26" s="1" t="s">
        <v>113</v>
      </c>
      <c r="B26" s="174"/>
      <c r="C26" s="54">
        <f>(C25-(1-B24)*Historical!I102-B24*Historical!I100)/(B24*(Historical!I101-Historical!I100))</f>
        <v>0.69911192372992037</v>
      </c>
      <c r="D26" s="15"/>
      <c r="E26" s="15"/>
      <c r="F26" s="15"/>
      <c r="G26" s="15"/>
      <c r="H26" s="15"/>
      <c r="I26" s="15"/>
      <c r="J26" s="15"/>
      <c r="K26" s="15"/>
      <c r="L26" s="15"/>
      <c r="M26" s="163" t="s">
        <v>124</v>
      </c>
    </row>
    <row r="27" spans="1:13" ht="162">
      <c r="A27" s="1" t="s">
        <v>115</v>
      </c>
      <c r="B27" s="174"/>
      <c r="C27" s="22">
        <v>-0.04</v>
      </c>
      <c r="D27" s="22">
        <v>0.06</v>
      </c>
      <c r="E27" s="22">
        <v>0.06</v>
      </c>
      <c r="F27" s="22">
        <v>0.05</v>
      </c>
      <c r="G27" s="22">
        <v>0.04</v>
      </c>
      <c r="H27" s="15">
        <f>$G27+(C7-$G27)*(H5-5)/5</f>
        <v>3.7999999999999999E-2</v>
      </c>
      <c r="I27" s="15">
        <f>$G27+(C7-$G27)*(I5-5)/5</f>
        <v>3.5999999999999997E-2</v>
      </c>
      <c r="J27" s="15">
        <f>$G27+(C7-$G27)*(J5-5)/5</f>
        <v>3.4000000000000002E-2</v>
      </c>
      <c r="K27" s="15">
        <f>$G27+(C7-$G27)*(K5-5)/5</f>
        <v>3.2000000000000001E-2</v>
      </c>
      <c r="L27" s="15">
        <f>$G27+(C7-$G27)*(L5-5)/5</f>
        <v>0.03</v>
      </c>
      <c r="M27" s="163" t="s">
        <v>125</v>
      </c>
    </row>
    <row r="28" spans="1:13" ht="223.5">
      <c r="A28" s="1" t="s">
        <v>117</v>
      </c>
      <c r="B28" s="174"/>
      <c r="C28" s="22">
        <v>0.19</v>
      </c>
      <c r="D28" s="22">
        <v>0.12</v>
      </c>
      <c r="E28" s="22">
        <v>0.09</v>
      </c>
      <c r="F28" s="22">
        <v>7.0000000000000007E-2</v>
      </c>
      <c r="G28" s="22">
        <v>0.06</v>
      </c>
      <c r="H28" s="15">
        <f>$G28+(C7-$G28)*(H5-5)/5</f>
        <v>5.3999999999999999E-2</v>
      </c>
      <c r="I28" s="15">
        <f>$G28+(C7-$G28)*(I5-5)/5</f>
        <v>4.8000000000000001E-2</v>
      </c>
      <c r="J28" s="15">
        <f>$G28+(C7-$G28)*(J5-5)/5</f>
        <v>4.1999999999999996E-2</v>
      </c>
      <c r="K28" s="15">
        <f>$G28+(C7-$G28)*(K5-5)/5</f>
        <v>3.5999999999999997E-2</v>
      </c>
      <c r="L28" s="15">
        <f>$G28+(C7-$G28)*(L5-5)/5</f>
        <v>0.03</v>
      </c>
      <c r="M28" s="163" t="s">
        <v>126</v>
      </c>
    </row>
    <row r="29" spans="1:13" ht="111.75">
      <c r="A29" s="1" t="s">
        <v>127</v>
      </c>
      <c r="B29" s="174"/>
      <c r="C29" s="22">
        <v>0.06</v>
      </c>
      <c r="D29" s="22">
        <v>0.06</v>
      </c>
      <c r="E29" s="22">
        <v>0.05</v>
      </c>
      <c r="F29" s="22">
        <v>0.04</v>
      </c>
      <c r="G29" s="22">
        <v>0.04</v>
      </c>
      <c r="H29" s="15">
        <f>$G29+(C7-$G29)*(H5-5)/5</f>
        <v>3.7999999999999999E-2</v>
      </c>
      <c r="I29" s="15">
        <f>$G29+(C7-$G29)*(I5-5)/5</f>
        <v>3.5999999999999997E-2</v>
      </c>
      <c r="J29" s="15">
        <f>$G29+(C7-$G29)*(J5-5)/5</f>
        <v>3.4000000000000002E-2</v>
      </c>
      <c r="K29" s="15">
        <f>$G29+(C7-$G29)*(K5-5)/5</f>
        <v>3.2000000000000001E-2</v>
      </c>
      <c r="L29" s="15">
        <f>$G29+(C7-$G29)*(L5-5)/5</f>
        <v>0.03</v>
      </c>
      <c r="M29" s="163" t="s">
        <v>128</v>
      </c>
    </row>
    <row r="30" spans="1:13">
      <c r="A30" s="7" t="s">
        <v>129</v>
      </c>
      <c r="B30" s="169"/>
      <c r="C30" s="6"/>
      <c r="D30" s="6"/>
      <c r="E30" s="6"/>
      <c r="F30" s="6"/>
      <c r="G30" s="6"/>
      <c r="H30" s="6"/>
      <c r="I30" s="6"/>
      <c r="J30" s="6"/>
      <c r="K30" s="6"/>
      <c r="L30" s="6"/>
      <c r="M30" s="163"/>
    </row>
    <row r="31" spans="1:13" ht="142.5">
      <c r="A31" s="1" t="s">
        <v>130</v>
      </c>
      <c r="B31" s="174"/>
      <c r="C31" s="22">
        <v>0.12</v>
      </c>
      <c r="D31" s="22">
        <v>7.0000000000000007E-2</v>
      </c>
      <c r="E31" s="22">
        <v>0.06</v>
      </c>
      <c r="F31" s="22">
        <v>0.05</v>
      </c>
      <c r="G31" s="22">
        <v>0.04</v>
      </c>
      <c r="H31" s="15">
        <f>$G31+(C7-$G31)*(H5-5)/5</f>
        <v>3.7999999999999999E-2</v>
      </c>
      <c r="I31" s="15">
        <f>$G31+(C7-$G31)*(I5-5)/5</f>
        <v>3.5999999999999997E-2</v>
      </c>
      <c r="J31" s="15">
        <f>$G31+(C7-$G31)*(J5-5)/5</f>
        <v>3.4000000000000002E-2</v>
      </c>
      <c r="K31" s="15">
        <f>$G31+(C7-$G31)*(K5-5)/5</f>
        <v>3.2000000000000001E-2</v>
      </c>
      <c r="L31" s="15">
        <f>$G31+(C7-$G31)*(L5-5)/5</f>
        <v>0.03</v>
      </c>
      <c r="M31" s="163" t="s">
        <v>131</v>
      </c>
    </row>
    <row r="32" spans="1:13" ht="51">
      <c r="A32" s="1" t="s">
        <v>132</v>
      </c>
      <c r="B32" s="174"/>
      <c r="C32" s="54">
        <f>AVERAGE(Historical!F45/Historical!F44,Historical!H45/Historical!H44)</f>
        <v>-2.7445484906365225E-2</v>
      </c>
      <c r="D32" s="15">
        <f>C32</f>
        <v>-2.7445484906365225E-2</v>
      </c>
      <c r="E32" s="15">
        <f>D32</f>
        <v>-2.7445484906365225E-2</v>
      </c>
      <c r="F32" s="15">
        <f>E32</f>
        <v>-2.7445484906365225E-2</v>
      </c>
      <c r="G32" s="15">
        <f>F32</f>
        <v>-2.7445484906365225E-2</v>
      </c>
      <c r="H32" s="15">
        <f>G32</f>
        <v>-2.7445484906365225E-2</v>
      </c>
      <c r="I32" s="15">
        <f>H32</f>
        <v>-2.7445484906365225E-2</v>
      </c>
      <c r="J32" s="15">
        <f>I32</f>
        <v>-2.7445484906365225E-2</v>
      </c>
      <c r="K32" s="15">
        <f>J32</f>
        <v>-2.7445484906365225E-2</v>
      </c>
      <c r="L32" s="15">
        <f>K32</f>
        <v>-2.7445484906365225E-2</v>
      </c>
      <c r="M32" s="163" t="s">
        <v>133</v>
      </c>
    </row>
    <row r="33" spans="1:13" ht="101.25">
      <c r="A33" s="1" t="s">
        <v>134</v>
      </c>
      <c r="B33" s="169"/>
      <c r="C33" s="3">
        <v>97000</v>
      </c>
      <c r="D33" s="6"/>
      <c r="E33" s="6"/>
      <c r="F33" s="6"/>
      <c r="G33" s="6"/>
      <c r="H33" s="6"/>
      <c r="I33" s="6"/>
      <c r="J33" s="6"/>
      <c r="K33" s="6"/>
      <c r="L33" s="6"/>
      <c r="M33" s="163" t="s">
        <v>135</v>
      </c>
    </row>
    <row r="34" spans="1:13">
      <c r="A34" s="1" t="s">
        <v>136</v>
      </c>
      <c r="B34" s="169"/>
      <c r="C34" s="3">
        <v>97500</v>
      </c>
      <c r="D34" s="6"/>
      <c r="E34" s="6"/>
      <c r="F34" s="6"/>
      <c r="G34" s="6"/>
      <c r="H34" s="6"/>
      <c r="I34" s="6"/>
      <c r="J34" s="6"/>
      <c r="K34" s="6"/>
      <c r="L34" s="6"/>
      <c r="M34" s="163" t="s">
        <v>137</v>
      </c>
    </row>
    <row r="35" spans="1:13">
      <c r="A35" s="2" t="s">
        <v>138</v>
      </c>
      <c r="B35" s="16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30"/>
    </row>
    <row r="36" spans="1:13" ht="153">
      <c r="A36" s="1" t="s">
        <v>139</v>
      </c>
      <c r="B36" s="174"/>
      <c r="C36" s="22">
        <v>0.18</v>
      </c>
      <c r="D36" s="22">
        <v>0.18</v>
      </c>
      <c r="E36" s="22">
        <v>0.185</v>
      </c>
      <c r="F36" s="22">
        <v>0.19</v>
      </c>
      <c r="G36" s="22">
        <v>0.19</v>
      </c>
      <c r="H36" s="15">
        <f>G36</f>
        <v>0.19</v>
      </c>
      <c r="I36" s="15">
        <f>H36</f>
        <v>0.19</v>
      </c>
      <c r="J36" s="15">
        <f>I36</f>
        <v>0.19</v>
      </c>
      <c r="K36" s="15">
        <f>J36</f>
        <v>0.19</v>
      </c>
      <c r="L36" s="15">
        <f>K36</f>
        <v>0.19</v>
      </c>
      <c r="M36" s="163" t="s">
        <v>140</v>
      </c>
    </row>
    <row r="37" spans="1:13" ht="192.75">
      <c r="A37" s="1" t="s">
        <v>141</v>
      </c>
      <c r="B37" s="174"/>
      <c r="C37" s="22">
        <v>0.08</v>
      </c>
      <c r="D37" s="22">
        <v>0.09</v>
      </c>
      <c r="E37" s="22">
        <v>9.5000000000000001E-2</v>
      </c>
      <c r="F37" s="22">
        <v>0.1</v>
      </c>
      <c r="G37" s="22">
        <v>0.105</v>
      </c>
      <c r="H37" s="15">
        <f>G37</f>
        <v>0.105</v>
      </c>
      <c r="I37" s="15">
        <f>H37</f>
        <v>0.105</v>
      </c>
      <c r="J37" s="15">
        <f>I37</f>
        <v>0.105</v>
      </c>
      <c r="K37" s="15">
        <f>J37</f>
        <v>0.105</v>
      </c>
      <c r="L37" s="15">
        <f>K37</f>
        <v>0.105</v>
      </c>
      <c r="M37" s="163" t="s">
        <v>142</v>
      </c>
    </row>
    <row r="38" spans="1:13" ht="111.75">
      <c r="A38" s="1" t="s">
        <v>143</v>
      </c>
      <c r="B38" s="174"/>
      <c r="C38" s="22">
        <v>0.13</v>
      </c>
      <c r="D38" s="22">
        <v>0.13</v>
      </c>
      <c r="E38" s="22">
        <v>0.13</v>
      </c>
      <c r="F38" s="22">
        <v>0.13</v>
      </c>
      <c r="G38" s="22">
        <v>0.13</v>
      </c>
      <c r="H38" s="15">
        <f>G38</f>
        <v>0.13</v>
      </c>
      <c r="I38" s="15">
        <f>H38</f>
        <v>0.13</v>
      </c>
      <c r="J38" s="15">
        <f>I38</f>
        <v>0.13</v>
      </c>
      <c r="K38" s="15">
        <f>J38</f>
        <v>0.13</v>
      </c>
      <c r="L38" s="15">
        <f>K38</f>
        <v>0.13</v>
      </c>
      <c r="M38" s="163" t="s">
        <v>144</v>
      </c>
    </row>
    <row r="39" spans="1:13" ht="60.75">
      <c r="A39" s="1" t="s">
        <v>145</v>
      </c>
      <c r="B39" s="174"/>
      <c r="C39" s="22">
        <v>1E-3</v>
      </c>
      <c r="D39" s="15">
        <f>C39</f>
        <v>1E-3</v>
      </c>
      <c r="E39" s="15">
        <f>D39</f>
        <v>1E-3</v>
      </c>
      <c r="F39" s="15">
        <f>E39</f>
        <v>1E-3</v>
      </c>
      <c r="G39" s="15">
        <f>F39</f>
        <v>1E-3</v>
      </c>
      <c r="H39" s="15">
        <f>G39</f>
        <v>1E-3</v>
      </c>
      <c r="I39" s="15">
        <f>H39</f>
        <v>1E-3</v>
      </c>
      <c r="J39" s="15">
        <f>I39</f>
        <v>1E-3</v>
      </c>
      <c r="K39" s="15">
        <f>J39</f>
        <v>1E-3</v>
      </c>
      <c r="L39" s="15">
        <f>K39</f>
        <v>1E-3</v>
      </c>
      <c r="M39" s="163" t="s">
        <v>146</v>
      </c>
    </row>
    <row r="40" spans="1:13" ht="51">
      <c r="A40" s="1" t="s">
        <v>147</v>
      </c>
      <c r="B40" s="174"/>
      <c r="C40" s="22">
        <v>-2.5000000000000001E-3</v>
      </c>
      <c r="D40" s="15">
        <f>C40</f>
        <v>-2.5000000000000001E-3</v>
      </c>
      <c r="E40" s="15">
        <f>D40</f>
        <v>-2.5000000000000001E-3</v>
      </c>
      <c r="F40" s="15">
        <f>E40</f>
        <v>-2.5000000000000001E-3</v>
      </c>
      <c r="G40" s="15">
        <f>F40</f>
        <v>-2.5000000000000001E-3</v>
      </c>
      <c r="H40" s="15">
        <f>G40</f>
        <v>-2.5000000000000001E-3</v>
      </c>
      <c r="I40" s="15">
        <f>H40</f>
        <v>-2.5000000000000001E-3</v>
      </c>
      <c r="J40" s="15">
        <f>I40</f>
        <v>-2.5000000000000001E-3</v>
      </c>
      <c r="K40" s="15">
        <f>J40</f>
        <v>-2.5000000000000001E-3</v>
      </c>
      <c r="L40" s="15">
        <f>K40</f>
        <v>-2.5000000000000001E-3</v>
      </c>
      <c r="M40" s="163" t="s">
        <v>148</v>
      </c>
    </row>
    <row r="41" spans="1:13" ht="111.75">
      <c r="A41" s="1" t="s">
        <v>149</v>
      </c>
      <c r="B41" s="174"/>
      <c r="C41" s="22">
        <v>2.1999999999999999E-2</v>
      </c>
      <c r="D41" s="22">
        <v>0.02</v>
      </c>
      <c r="E41" s="22">
        <v>1.7999999999999999E-2</v>
      </c>
      <c r="F41" s="22">
        <v>1.6E-2</v>
      </c>
      <c r="G41" s="22">
        <v>1.4999999999999999E-2</v>
      </c>
      <c r="H41" s="15">
        <f>G41</f>
        <v>1.4999999999999999E-2</v>
      </c>
      <c r="I41" s="15">
        <f>H41</f>
        <v>1.4999999999999999E-2</v>
      </c>
      <c r="J41" s="15">
        <f>I41</f>
        <v>1.4999999999999999E-2</v>
      </c>
      <c r="K41" s="15">
        <f>J41</f>
        <v>1.4999999999999999E-2</v>
      </c>
      <c r="L41" s="15">
        <f>K41</f>
        <v>1.4999999999999999E-2</v>
      </c>
      <c r="M41" s="163" t="s">
        <v>150</v>
      </c>
    </row>
    <row r="42" spans="1:13" ht="111.75">
      <c r="A42" s="1" t="s">
        <v>151</v>
      </c>
      <c r="B42" s="169"/>
      <c r="C42" s="3">
        <v>1992</v>
      </c>
      <c r="D42" s="3">
        <v>1896</v>
      </c>
      <c r="E42" s="3">
        <v>1795</v>
      </c>
      <c r="F42" s="3">
        <v>1637</v>
      </c>
      <c r="G42" s="3">
        <v>1628</v>
      </c>
      <c r="H42" s="6"/>
      <c r="I42" s="6"/>
      <c r="J42" s="6"/>
      <c r="K42" s="6"/>
      <c r="L42" s="6"/>
      <c r="M42" s="163" t="s">
        <v>152</v>
      </c>
    </row>
    <row r="43" spans="1:13" ht="244.5">
      <c r="A43" s="1" t="s">
        <v>153</v>
      </c>
      <c r="B43" s="169"/>
      <c r="C43" s="47">
        <f>-Historical!H55*4/3</f>
        <v>1857.3333333333333</v>
      </c>
      <c r="D43" s="6">
        <f>C43*D42/C42</f>
        <v>1767.8232931726907</v>
      </c>
      <c r="E43" s="6">
        <f>C43*E42/C42</f>
        <v>1673.6512717536812</v>
      </c>
      <c r="F43" s="6">
        <f>C43*F42/C42</f>
        <v>1526.3326639892905</v>
      </c>
      <c r="G43" s="6">
        <f>C43*G42/C42</f>
        <v>1517.9410977242301</v>
      </c>
      <c r="H43" s="6">
        <f>$G43*(1-(H5-5)/5)</f>
        <v>1214.3528781793841</v>
      </c>
      <c r="I43" s="6">
        <f>$G43*(1-(I5-5)/5)</f>
        <v>910.76465863453802</v>
      </c>
      <c r="J43" s="6">
        <f>$G43*(1-(J5-5)/5)</f>
        <v>607.17643908969205</v>
      </c>
      <c r="K43" s="6">
        <f>$G43*(1-(K5-5)/5)</f>
        <v>303.58821954484597</v>
      </c>
      <c r="L43" s="6">
        <f>$G43*(1-(L5-5)/5)</f>
        <v>0</v>
      </c>
      <c r="M43" s="163" t="s">
        <v>154</v>
      </c>
    </row>
    <row r="44" spans="1:13" ht="41.25">
      <c r="A44" s="1" t="s">
        <v>155</v>
      </c>
      <c r="B44" s="174"/>
      <c r="C44" s="22">
        <v>0.03</v>
      </c>
      <c r="D44" s="15">
        <f>C44</f>
        <v>0.03</v>
      </c>
      <c r="E44" s="15">
        <f>D44</f>
        <v>0.03</v>
      </c>
      <c r="F44" s="15">
        <f>E44</f>
        <v>0.03</v>
      </c>
      <c r="G44" s="15">
        <f>F44</f>
        <v>0.03</v>
      </c>
      <c r="H44" s="15">
        <f>G44</f>
        <v>0.03</v>
      </c>
      <c r="I44" s="15">
        <f>H44</f>
        <v>0.03</v>
      </c>
      <c r="J44" s="15">
        <f>I44</f>
        <v>0.03</v>
      </c>
      <c r="K44" s="15">
        <f>J44</f>
        <v>0.03</v>
      </c>
      <c r="L44" s="15">
        <f>K44</f>
        <v>0.03</v>
      </c>
      <c r="M44" s="163" t="s">
        <v>156</v>
      </c>
    </row>
    <row r="45" spans="1:13" ht="41.25">
      <c r="A45" s="1" t="s">
        <v>157</v>
      </c>
      <c r="B45" s="174"/>
      <c r="C45" s="22">
        <v>7.0000000000000007E-2</v>
      </c>
      <c r="D45" s="15">
        <f>C45</f>
        <v>7.0000000000000007E-2</v>
      </c>
      <c r="E45" s="15">
        <f>D45</f>
        <v>7.0000000000000007E-2</v>
      </c>
      <c r="F45" s="15">
        <f>E45</f>
        <v>7.0000000000000007E-2</v>
      </c>
      <c r="G45" s="15">
        <f>F45</f>
        <v>7.0000000000000007E-2</v>
      </c>
      <c r="H45" s="15">
        <f>G45</f>
        <v>7.0000000000000007E-2</v>
      </c>
      <c r="I45" s="15">
        <f>H45</f>
        <v>7.0000000000000007E-2</v>
      </c>
      <c r="J45" s="15">
        <f>I45</f>
        <v>7.0000000000000007E-2</v>
      </c>
      <c r="K45" s="15">
        <f>J45</f>
        <v>7.0000000000000007E-2</v>
      </c>
      <c r="L45" s="15">
        <f>K45</f>
        <v>7.0000000000000007E-2</v>
      </c>
      <c r="M45" s="163" t="s">
        <v>158</v>
      </c>
    </row>
    <row r="46" spans="1:13" ht="41.25">
      <c r="A46" s="1" t="s">
        <v>159</v>
      </c>
      <c r="B46" s="174"/>
      <c r="C46" s="22">
        <v>4.0000000000000001E-3</v>
      </c>
      <c r="D46" s="15">
        <f>C46</f>
        <v>4.0000000000000001E-3</v>
      </c>
      <c r="E46" s="15">
        <f>D46</f>
        <v>4.0000000000000001E-3</v>
      </c>
      <c r="F46" s="15">
        <f>E46</f>
        <v>4.0000000000000001E-3</v>
      </c>
      <c r="G46" s="15">
        <f>F46</f>
        <v>4.0000000000000001E-3</v>
      </c>
      <c r="H46" s="15">
        <f>G46</f>
        <v>4.0000000000000001E-3</v>
      </c>
      <c r="I46" s="15">
        <f>H46</f>
        <v>4.0000000000000001E-3</v>
      </c>
      <c r="J46" s="15">
        <f>I46</f>
        <v>4.0000000000000001E-3</v>
      </c>
      <c r="K46" s="15">
        <f>J46</f>
        <v>4.0000000000000001E-3</v>
      </c>
      <c r="L46" s="15">
        <f>K46</f>
        <v>4.0000000000000001E-3</v>
      </c>
      <c r="M46" s="163" t="s">
        <v>160</v>
      </c>
    </row>
    <row r="47" spans="1:13" ht="153">
      <c r="A47" s="1" t="s">
        <v>161</v>
      </c>
      <c r="B47" s="185">
        <f>Historical!F15</f>
        <v>0.20077198288996986</v>
      </c>
      <c r="C47" s="54">
        <f>Projections!C43</f>
        <v>0.21415993954129986</v>
      </c>
      <c r="D47" s="54">
        <f>Projections!D43</f>
        <v>0.21913841310466575</v>
      </c>
      <c r="E47" s="54">
        <f>Projections!E43</f>
        <v>0.22376873096747577</v>
      </c>
      <c r="F47" s="54">
        <f>Projections!F43</f>
        <v>0.22863798565075699</v>
      </c>
      <c r="G47" s="54">
        <f>Projections!G43</f>
        <v>0.23081454334208137</v>
      </c>
      <c r="H47" s="54">
        <f>Projections!H43</f>
        <v>0.23362940249085407</v>
      </c>
      <c r="I47" s="54">
        <f>Projections!I43</f>
        <v>0.23621761472028396</v>
      </c>
      <c r="J47" s="54">
        <f>Projections!J43</f>
        <v>0.23861580328279514</v>
      </c>
      <c r="K47" s="54">
        <f>Projections!K43</f>
        <v>0.24085661807079289</v>
      </c>
      <c r="L47" s="54">
        <f>Projections!L43</f>
        <v>0.24296927959236872</v>
      </c>
      <c r="M47" s="163" t="s">
        <v>162</v>
      </c>
    </row>
    <row r="48" spans="1:13" ht="111.75">
      <c r="A48" s="1" t="s">
        <v>163</v>
      </c>
      <c r="B48" s="169"/>
      <c r="C48" s="47">
        <f>Historical!H22*4/3</f>
        <v>1397.3333333333333</v>
      </c>
      <c r="D48" s="6">
        <f>C48</f>
        <v>1397.3333333333333</v>
      </c>
      <c r="E48" s="6">
        <f>D48</f>
        <v>1397.3333333333333</v>
      </c>
      <c r="F48" s="6">
        <f>E48</f>
        <v>1397.3333333333333</v>
      </c>
      <c r="G48" s="6">
        <f>F48</f>
        <v>1397.3333333333333</v>
      </c>
      <c r="H48" s="6">
        <f>G48</f>
        <v>1397.3333333333333</v>
      </c>
      <c r="I48" s="6">
        <f>H48</f>
        <v>1397.3333333333333</v>
      </c>
      <c r="J48" s="6">
        <f>I48</f>
        <v>1397.3333333333333</v>
      </c>
      <c r="K48" s="6">
        <f>J48</f>
        <v>1397.3333333333333</v>
      </c>
      <c r="L48" s="6">
        <f>K48</f>
        <v>1397.3333333333333</v>
      </c>
      <c r="M48" s="163" t="s">
        <v>164</v>
      </c>
    </row>
    <row r="49" spans="1:13" ht="153">
      <c r="A49" s="1" t="s">
        <v>165</v>
      </c>
      <c r="B49" s="174"/>
      <c r="C49" s="54">
        <f>Historical!H27</f>
        <v>0.16921639612285413</v>
      </c>
      <c r="D49" s="54">
        <f>AVERAGE(Historical!E27,Historical!F27)</f>
        <v>0.19060500624470789</v>
      </c>
      <c r="E49" s="15">
        <f>D49</f>
        <v>0.19060500624470789</v>
      </c>
      <c r="F49" s="15">
        <f>E49</f>
        <v>0.19060500624470789</v>
      </c>
      <c r="G49" s="15">
        <f>F49</f>
        <v>0.19060500624470789</v>
      </c>
      <c r="H49" s="15">
        <f>G49</f>
        <v>0.19060500624470789</v>
      </c>
      <c r="I49" s="15">
        <f>H49</f>
        <v>0.19060500624470789</v>
      </c>
      <c r="J49" s="15">
        <f>I49</f>
        <v>0.19060500624470789</v>
      </c>
      <c r="K49" s="15">
        <f>J49</f>
        <v>0.19060500624470789</v>
      </c>
      <c r="L49" s="15">
        <f>K49</f>
        <v>0.19060500624470789</v>
      </c>
      <c r="M49" s="163" t="s">
        <v>166</v>
      </c>
    </row>
    <row r="50" spans="1:13" ht="71.25">
      <c r="A50" s="1" t="s">
        <v>167</v>
      </c>
      <c r="B50" s="174"/>
      <c r="C50" s="54">
        <f>WACC!$B$41</f>
        <v>4.1979929998202374E-2</v>
      </c>
      <c r="D50" s="54">
        <f>WACC!$B$41</f>
        <v>4.1979929998202374E-2</v>
      </c>
      <c r="E50" s="54">
        <f>WACC!$B$41</f>
        <v>4.1979929998202374E-2</v>
      </c>
      <c r="F50" s="54">
        <f>WACC!$B$41</f>
        <v>4.1979929998202374E-2</v>
      </c>
      <c r="G50" s="54">
        <f>WACC!$B$41</f>
        <v>4.1979929998202374E-2</v>
      </c>
      <c r="H50" s="54">
        <f>WACC!$B$41</f>
        <v>4.1979929998202374E-2</v>
      </c>
      <c r="I50" s="54">
        <f>WACC!$B$41</f>
        <v>4.1979929998202374E-2</v>
      </c>
      <c r="J50" s="54">
        <f>WACC!$B$41</f>
        <v>4.1979929998202374E-2</v>
      </c>
      <c r="K50" s="54">
        <f>WACC!$B$41</f>
        <v>4.1979929998202374E-2</v>
      </c>
      <c r="L50" s="54">
        <f>WACC!$B$41</f>
        <v>4.1979929998202374E-2</v>
      </c>
      <c r="M50" s="163" t="s">
        <v>168</v>
      </c>
    </row>
    <row r="51" spans="1:13" ht="20.25">
      <c r="A51" s="1" t="s">
        <v>169</v>
      </c>
      <c r="B51" s="174"/>
      <c r="C51" s="54">
        <f>Historical!H204</f>
        <v>4.6809108799550185E-2</v>
      </c>
      <c r="D51" s="15">
        <f>C51</f>
        <v>4.6809108799550185E-2</v>
      </c>
      <c r="E51" s="15">
        <f>D51</f>
        <v>4.6809108799550185E-2</v>
      </c>
      <c r="F51" s="15">
        <f>E51</f>
        <v>4.6809108799550185E-2</v>
      </c>
      <c r="G51" s="15">
        <f>F51</f>
        <v>4.6809108799550185E-2</v>
      </c>
      <c r="H51" s="15">
        <f>G51</f>
        <v>4.6809108799550185E-2</v>
      </c>
      <c r="I51" s="15">
        <f>H51</f>
        <v>4.6809108799550185E-2</v>
      </c>
      <c r="J51" s="15">
        <f>I51</f>
        <v>4.6809108799550185E-2</v>
      </c>
      <c r="K51" s="15">
        <f>J51</f>
        <v>4.6809108799550185E-2</v>
      </c>
      <c r="L51" s="15">
        <f>K51</f>
        <v>4.6809108799550185E-2</v>
      </c>
      <c r="M51" s="163" t="s">
        <v>170</v>
      </c>
    </row>
    <row r="52" spans="1:13">
      <c r="A52" s="2" t="s">
        <v>171</v>
      </c>
      <c r="B52" s="168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30"/>
    </row>
    <row r="53" spans="1:13" ht="122.25">
      <c r="A53" s="1" t="s">
        <v>172</v>
      </c>
      <c r="B53" s="174"/>
      <c r="C53" s="54">
        <f>Historical!F202</f>
        <v>2.5902057492409963E-2</v>
      </c>
      <c r="D53" s="15">
        <f>C53</f>
        <v>2.5902057492409963E-2</v>
      </c>
      <c r="E53" s="15">
        <f>D53</f>
        <v>2.5902057492409963E-2</v>
      </c>
      <c r="F53" s="15">
        <f>E53</f>
        <v>2.5902057492409963E-2</v>
      </c>
      <c r="G53" s="15">
        <f>F53</f>
        <v>2.5902057492409963E-2</v>
      </c>
      <c r="H53" s="15">
        <f>G53</f>
        <v>2.5902057492409963E-2</v>
      </c>
      <c r="I53" s="15">
        <f>H53</f>
        <v>2.5902057492409963E-2</v>
      </c>
      <c r="J53" s="15">
        <f>I53</f>
        <v>2.5902057492409963E-2</v>
      </c>
      <c r="K53" s="15">
        <f>J53</f>
        <v>2.5902057492409963E-2</v>
      </c>
      <c r="L53" s="15">
        <f>K53</f>
        <v>2.5902057492409963E-2</v>
      </c>
      <c r="M53" s="163" t="s">
        <v>173</v>
      </c>
    </row>
    <row r="54" spans="1:13" ht="142.5">
      <c r="A54" s="1" t="s">
        <v>174</v>
      </c>
      <c r="B54" s="174"/>
      <c r="C54" s="22">
        <v>2.9000000000000001E-2</v>
      </c>
      <c r="D54" s="22">
        <v>0.03</v>
      </c>
      <c r="E54" s="22">
        <v>0.03</v>
      </c>
      <c r="F54" s="22">
        <v>2.9000000000000001E-2</v>
      </c>
      <c r="G54" s="22">
        <v>2.8000000000000001E-2</v>
      </c>
      <c r="H54" s="54">
        <f>$G54+(Projections!$L$150-$G54)*(H5-5)/5</f>
        <v>3.0275874518984454E-2</v>
      </c>
      <c r="I54" s="54">
        <f>$G54+(Projections!$L$150-$G54)*(I5-5)/5</f>
        <v>3.2551749037968904E-2</v>
      </c>
      <c r="J54" s="54">
        <f>$G54+(Projections!$L$150-$G54)*(J5-5)/5</f>
        <v>3.4827623556953353E-2</v>
      </c>
      <c r="K54" s="54">
        <f>$G54+(Projections!$L$150-$G54)*(K5-5)/5</f>
        <v>3.710349807593781E-2</v>
      </c>
      <c r="L54" s="54">
        <f>Projections!L150</f>
        <v>3.937937259492226E-2</v>
      </c>
      <c r="M54" s="163" t="s">
        <v>175</v>
      </c>
    </row>
    <row r="55" spans="1:13" ht="41.25">
      <c r="A55" s="1" t="s">
        <v>176</v>
      </c>
      <c r="B55" s="174"/>
      <c r="C55" s="54">
        <f>AVERAGE(Historical!F200,Historical!J200)</f>
        <v>4.7246101747705944E-3</v>
      </c>
      <c r="D55" s="15">
        <f>C55</f>
        <v>4.7246101747705944E-3</v>
      </c>
      <c r="E55" s="15">
        <f>D55</f>
        <v>4.7246101747705944E-3</v>
      </c>
      <c r="F55" s="15">
        <f>E55</f>
        <v>4.7246101747705944E-3</v>
      </c>
      <c r="G55" s="15">
        <f>F55</f>
        <v>4.7246101747705944E-3</v>
      </c>
      <c r="H55" s="15">
        <f>G55</f>
        <v>4.7246101747705944E-3</v>
      </c>
      <c r="I55" s="15">
        <f>H55</f>
        <v>4.7246101747705944E-3</v>
      </c>
      <c r="J55" s="15">
        <f>I55</f>
        <v>4.7246101747705944E-3</v>
      </c>
      <c r="K55" s="15">
        <f>J55</f>
        <v>4.7246101747705944E-3</v>
      </c>
      <c r="L55" s="15">
        <f>K55</f>
        <v>4.7246101747705944E-3</v>
      </c>
      <c r="M55" s="163" t="s">
        <v>177</v>
      </c>
    </row>
    <row r="56" spans="1:13" ht="51">
      <c r="A56" s="1" t="s">
        <v>178</v>
      </c>
      <c r="B56" s="174"/>
      <c r="C56" s="54">
        <f>Historical!F203</f>
        <v>1.2324639120571539E-2</v>
      </c>
      <c r="D56" s="15">
        <f>C56</f>
        <v>1.2324639120571539E-2</v>
      </c>
      <c r="E56" s="15">
        <f>D56</f>
        <v>1.2324639120571539E-2</v>
      </c>
      <c r="F56" s="15">
        <f>E56</f>
        <v>1.2324639120571539E-2</v>
      </c>
      <c r="G56" s="15">
        <f>F56</f>
        <v>1.2324639120571539E-2</v>
      </c>
      <c r="H56" s="15">
        <f>G56</f>
        <v>1.2324639120571539E-2</v>
      </c>
      <c r="I56" s="15">
        <f>H56</f>
        <v>1.2324639120571539E-2</v>
      </c>
      <c r="J56" s="15">
        <f>I56</f>
        <v>1.2324639120571539E-2</v>
      </c>
      <c r="K56" s="15">
        <f>J56</f>
        <v>1.2324639120571539E-2</v>
      </c>
      <c r="L56" s="15">
        <f>K56</f>
        <v>1.2324639120571539E-2</v>
      </c>
      <c r="M56" s="163" t="s">
        <v>179</v>
      </c>
    </row>
    <row r="57" spans="1:13" ht="51">
      <c r="A57" s="1" t="s">
        <v>180</v>
      </c>
      <c r="B57" s="184"/>
      <c r="C57" s="55">
        <f>AVERAGE(Historical!F187,Historical!J187)</f>
        <v>58.193352486881452</v>
      </c>
      <c r="D57" s="27">
        <f>C57</f>
        <v>58.193352486881452</v>
      </c>
      <c r="E57" s="27">
        <f>D57</f>
        <v>58.193352486881452</v>
      </c>
      <c r="F57" s="27">
        <f>E57</f>
        <v>58.193352486881452</v>
      </c>
      <c r="G57" s="27">
        <f>F57</f>
        <v>58.193352486881452</v>
      </c>
      <c r="H57" s="27">
        <f>G57</f>
        <v>58.193352486881452</v>
      </c>
      <c r="I57" s="27">
        <f>H57</f>
        <v>58.193352486881452</v>
      </c>
      <c r="J57" s="27">
        <f>I57</f>
        <v>58.193352486881452</v>
      </c>
      <c r="K57" s="27">
        <f>J57</f>
        <v>58.193352486881452</v>
      </c>
      <c r="L57" s="27">
        <f>K57</f>
        <v>58.193352486881452</v>
      </c>
      <c r="M57" s="163" t="s">
        <v>181</v>
      </c>
    </row>
    <row r="58" spans="1:13" ht="51">
      <c r="A58" s="1" t="s">
        <v>182</v>
      </c>
      <c r="B58" s="174"/>
      <c r="C58" s="54">
        <f>AVERAGE(Historical!F188,Historical!J188)</f>
        <v>0.19386694922539877</v>
      </c>
      <c r="D58" s="15">
        <f>C58</f>
        <v>0.19386694922539877</v>
      </c>
      <c r="E58" s="15">
        <f>D58</f>
        <v>0.19386694922539877</v>
      </c>
      <c r="F58" s="15">
        <f>E58</f>
        <v>0.19386694922539877</v>
      </c>
      <c r="G58" s="15">
        <f>F58</f>
        <v>0.19386694922539877</v>
      </c>
      <c r="H58" s="15">
        <f>G58</f>
        <v>0.19386694922539877</v>
      </c>
      <c r="I58" s="15">
        <f>H58</f>
        <v>0.19386694922539877</v>
      </c>
      <c r="J58" s="15">
        <f>I58</f>
        <v>0.19386694922539877</v>
      </c>
      <c r="K58" s="15">
        <f>J58</f>
        <v>0.19386694922539877</v>
      </c>
      <c r="L58" s="15">
        <f>K58</f>
        <v>0.19386694922539877</v>
      </c>
      <c r="M58" s="163" t="s">
        <v>181</v>
      </c>
    </row>
    <row r="59" spans="1:13" ht="51">
      <c r="A59" s="1" t="s">
        <v>183</v>
      </c>
      <c r="B59" s="184"/>
      <c r="C59" s="55">
        <f>AVERAGE(Historical!F189,Historical!J189)</f>
        <v>70.472440837686662</v>
      </c>
      <c r="D59" s="27">
        <f>C59</f>
        <v>70.472440837686662</v>
      </c>
      <c r="E59" s="27">
        <f>D59</f>
        <v>70.472440837686662</v>
      </c>
      <c r="F59" s="27">
        <f>E59</f>
        <v>70.472440837686662</v>
      </c>
      <c r="G59" s="27">
        <f>F59</f>
        <v>70.472440837686662</v>
      </c>
      <c r="H59" s="27">
        <f>G59</f>
        <v>70.472440837686662</v>
      </c>
      <c r="I59" s="27">
        <f>H59</f>
        <v>70.472440837686662</v>
      </c>
      <c r="J59" s="27">
        <f>I59</f>
        <v>70.472440837686662</v>
      </c>
      <c r="K59" s="27">
        <f>J59</f>
        <v>70.472440837686662</v>
      </c>
      <c r="L59" s="27">
        <f>K59</f>
        <v>70.472440837686662</v>
      </c>
      <c r="M59" s="163" t="s">
        <v>181</v>
      </c>
    </row>
    <row r="60" spans="1:13" ht="51">
      <c r="A60" s="1" t="s">
        <v>184</v>
      </c>
      <c r="B60" s="184"/>
      <c r="C60" s="55">
        <f>AVERAGE(Historical!F190,Historical!J190)</f>
        <v>83.86269278719837</v>
      </c>
      <c r="D60" s="27">
        <f>C60</f>
        <v>83.86269278719837</v>
      </c>
      <c r="E60" s="27">
        <f>D60</f>
        <v>83.86269278719837</v>
      </c>
      <c r="F60" s="27">
        <f>E60</f>
        <v>83.86269278719837</v>
      </c>
      <c r="G60" s="27">
        <f>F60</f>
        <v>83.86269278719837</v>
      </c>
      <c r="H60" s="27">
        <f>G60</f>
        <v>83.86269278719837</v>
      </c>
      <c r="I60" s="27">
        <f>H60</f>
        <v>83.86269278719837</v>
      </c>
      <c r="J60" s="27">
        <f>I60</f>
        <v>83.86269278719837</v>
      </c>
      <c r="K60" s="27">
        <f>J60</f>
        <v>83.86269278719837</v>
      </c>
      <c r="L60" s="27">
        <f>K60</f>
        <v>83.86269278719837</v>
      </c>
      <c r="M60" s="163" t="s">
        <v>181</v>
      </c>
    </row>
    <row r="61" spans="1:13" ht="51">
      <c r="A61" s="1" t="s">
        <v>185</v>
      </c>
      <c r="B61" s="174"/>
      <c r="C61" s="54">
        <f>AVERAGE(Historical!F191,Historical!J191)</f>
        <v>0.23423146700717506</v>
      </c>
      <c r="D61" s="15">
        <f>C61</f>
        <v>0.23423146700717506</v>
      </c>
      <c r="E61" s="15">
        <f>D61</f>
        <v>0.23423146700717506</v>
      </c>
      <c r="F61" s="15">
        <f>E61</f>
        <v>0.23423146700717506</v>
      </c>
      <c r="G61" s="15">
        <f>F61</f>
        <v>0.23423146700717506</v>
      </c>
      <c r="H61" s="15">
        <f>G61</f>
        <v>0.23423146700717506</v>
      </c>
      <c r="I61" s="15">
        <f>H61</f>
        <v>0.23423146700717506</v>
      </c>
      <c r="J61" s="15">
        <f>I61</f>
        <v>0.23423146700717506</v>
      </c>
      <c r="K61" s="15">
        <f>J61</f>
        <v>0.23423146700717506</v>
      </c>
      <c r="L61" s="15">
        <f>K61</f>
        <v>0.23423146700717506</v>
      </c>
      <c r="M61" s="163" t="s">
        <v>181</v>
      </c>
    </row>
    <row r="62" spans="1:13" ht="51">
      <c r="A62" s="1" t="s">
        <v>186</v>
      </c>
      <c r="B62" s="174"/>
      <c r="C62" s="54">
        <f>AVERAGE(Historical!F192,Historical!J192)</f>
        <v>8.827255981703816E-2</v>
      </c>
      <c r="D62" s="15">
        <f>C62</f>
        <v>8.827255981703816E-2</v>
      </c>
      <c r="E62" s="15">
        <f>D62</f>
        <v>8.827255981703816E-2</v>
      </c>
      <c r="F62" s="15">
        <f>E62</f>
        <v>8.827255981703816E-2</v>
      </c>
      <c r="G62" s="15">
        <f>F62</f>
        <v>8.827255981703816E-2</v>
      </c>
      <c r="H62" s="15">
        <f>G62</f>
        <v>8.827255981703816E-2</v>
      </c>
      <c r="I62" s="15">
        <f>H62</f>
        <v>8.827255981703816E-2</v>
      </c>
      <c r="J62" s="15">
        <f>I62</f>
        <v>8.827255981703816E-2</v>
      </c>
      <c r="K62" s="15">
        <f>J62</f>
        <v>8.827255981703816E-2</v>
      </c>
      <c r="L62" s="15">
        <f>K62</f>
        <v>8.827255981703816E-2</v>
      </c>
      <c r="M62" s="163" t="s">
        <v>181</v>
      </c>
    </row>
    <row r="63" spans="1:13" ht="51">
      <c r="A63" s="1" t="s">
        <v>187</v>
      </c>
      <c r="B63" s="174"/>
      <c r="C63" s="54">
        <f>AVERAGE(Historical!F193,Historical!J193)</f>
        <v>0.19318023815177587</v>
      </c>
      <c r="D63" s="15">
        <f>C63</f>
        <v>0.19318023815177587</v>
      </c>
      <c r="E63" s="15">
        <f>D63</f>
        <v>0.19318023815177587</v>
      </c>
      <c r="F63" s="15">
        <f>E63</f>
        <v>0.19318023815177587</v>
      </c>
      <c r="G63" s="15">
        <f>F63</f>
        <v>0.19318023815177587</v>
      </c>
      <c r="H63" s="15">
        <f>G63</f>
        <v>0.19318023815177587</v>
      </c>
      <c r="I63" s="15">
        <f>H63</f>
        <v>0.19318023815177587</v>
      </c>
      <c r="J63" s="15">
        <f>I63</f>
        <v>0.19318023815177587</v>
      </c>
      <c r="K63" s="15">
        <f>J63</f>
        <v>0.19318023815177587</v>
      </c>
      <c r="L63" s="15">
        <f>K63</f>
        <v>0.19318023815177587</v>
      </c>
      <c r="M63" s="163" t="s">
        <v>181</v>
      </c>
    </row>
    <row r="64" spans="1:13" ht="51">
      <c r="A64" s="1" t="s">
        <v>188</v>
      </c>
      <c r="B64" s="174"/>
      <c r="C64" s="54">
        <f>AVERAGE(Historical!F194,Historical!J194)</f>
        <v>2.1824188133094988E-2</v>
      </c>
      <c r="D64" s="15">
        <f>C64</f>
        <v>2.1824188133094988E-2</v>
      </c>
      <c r="E64" s="15">
        <f>D64</f>
        <v>2.1824188133094988E-2</v>
      </c>
      <c r="F64" s="15">
        <f>E64</f>
        <v>2.1824188133094988E-2</v>
      </c>
      <c r="G64" s="15">
        <f>F64</f>
        <v>2.1824188133094988E-2</v>
      </c>
      <c r="H64" s="15">
        <f>G64</f>
        <v>2.1824188133094988E-2</v>
      </c>
      <c r="I64" s="15">
        <f>H64</f>
        <v>2.1824188133094988E-2</v>
      </c>
      <c r="J64" s="15">
        <f>I64</f>
        <v>2.1824188133094988E-2</v>
      </c>
      <c r="K64" s="15">
        <f>J64</f>
        <v>2.1824188133094988E-2</v>
      </c>
      <c r="L64" s="15">
        <f>K64</f>
        <v>2.1824188133094988E-2</v>
      </c>
      <c r="M64" s="163" t="s">
        <v>181</v>
      </c>
    </row>
    <row r="65" spans="1:13" ht="51">
      <c r="A65" s="1" t="s">
        <v>189</v>
      </c>
      <c r="B65" s="174"/>
      <c r="C65" s="54">
        <f>AVERAGE(Historical!F195,Historical!J195)</f>
        <v>5.7728417931576556E-2</v>
      </c>
      <c r="D65" s="15">
        <f>C65</f>
        <v>5.7728417931576556E-2</v>
      </c>
      <c r="E65" s="15">
        <f>D65</f>
        <v>5.7728417931576556E-2</v>
      </c>
      <c r="F65" s="15">
        <f>E65</f>
        <v>5.7728417931576556E-2</v>
      </c>
      <c r="G65" s="15">
        <f>F65</f>
        <v>5.7728417931576556E-2</v>
      </c>
      <c r="H65" s="15">
        <f>G65</f>
        <v>5.7728417931576556E-2</v>
      </c>
      <c r="I65" s="15">
        <f>H65</f>
        <v>5.7728417931576556E-2</v>
      </c>
      <c r="J65" s="15">
        <f>I65</f>
        <v>5.7728417931576556E-2</v>
      </c>
      <c r="K65" s="15">
        <f>J65</f>
        <v>5.7728417931576556E-2</v>
      </c>
      <c r="L65" s="15">
        <f>K65</f>
        <v>5.7728417931576556E-2</v>
      </c>
      <c r="M65" s="163" t="s">
        <v>181</v>
      </c>
    </row>
    <row r="66" spans="1:13" ht="51">
      <c r="A66" s="1" t="s">
        <v>190</v>
      </c>
      <c r="B66" s="174"/>
      <c r="C66" s="54">
        <f>AVERAGE(Historical!F196,Historical!J196)</f>
        <v>7.9740141159212616E-2</v>
      </c>
      <c r="D66" s="15">
        <f>C66</f>
        <v>7.9740141159212616E-2</v>
      </c>
      <c r="E66" s="15">
        <f>D66</f>
        <v>7.9740141159212616E-2</v>
      </c>
      <c r="F66" s="15">
        <f>E66</f>
        <v>7.9740141159212616E-2</v>
      </c>
      <c r="G66" s="15">
        <f>F66</f>
        <v>7.9740141159212616E-2</v>
      </c>
      <c r="H66" s="15">
        <f>G66</f>
        <v>7.9740141159212616E-2</v>
      </c>
      <c r="I66" s="15">
        <f>H66</f>
        <v>7.9740141159212616E-2</v>
      </c>
      <c r="J66" s="15">
        <f>I66</f>
        <v>7.9740141159212616E-2</v>
      </c>
      <c r="K66" s="15">
        <f>J66</f>
        <v>7.9740141159212616E-2</v>
      </c>
      <c r="L66" s="15">
        <f>K66</f>
        <v>7.9740141159212616E-2</v>
      </c>
      <c r="M66" s="163" t="s">
        <v>181</v>
      </c>
    </row>
    <row r="67" spans="1:13" ht="51">
      <c r="A67" s="1" t="s">
        <v>191</v>
      </c>
      <c r="B67" s="174"/>
      <c r="C67" s="54">
        <f>AVERAGE(Historical!F197,Historical!J197)</f>
        <v>1.9868622177237699E-2</v>
      </c>
      <c r="D67" s="15">
        <f>C67</f>
        <v>1.9868622177237699E-2</v>
      </c>
      <c r="E67" s="15">
        <f>D67</f>
        <v>1.9868622177237699E-2</v>
      </c>
      <c r="F67" s="15">
        <f>E67</f>
        <v>1.9868622177237699E-2</v>
      </c>
      <c r="G67" s="15">
        <f>F67</f>
        <v>1.9868622177237699E-2</v>
      </c>
      <c r="H67" s="15">
        <f>G67</f>
        <v>1.9868622177237699E-2</v>
      </c>
      <c r="I67" s="15">
        <f>H67</f>
        <v>1.9868622177237699E-2</v>
      </c>
      <c r="J67" s="15">
        <f>I67</f>
        <v>1.9868622177237699E-2</v>
      </c>
      <c r="K67" s="15">
        <f>J67</f>
        <v>1.9868622177237699E-2</v>
      </c>
      <c r="L67" s="15">
        <f>K67</f>
        <v>1.9868622177237699E-2</v>
      </c>
      <c r="M67" s="163" t="s">
        <v>181</v>
      </c>
    </row>
    <row r="68" spans="1:13" ht="51">
      <c r="A68" s="1" t="s">
        <v>192</v>
      </c>
      <c r="B68" s="174"/>
      <c r="C68" s="54">
        <f>AVERAGE(Historical!F198,Historical!J198)</f>
        <v>1.6827838840702162E-2</v>
      </c>
      <c r="D68" s="15">
        <f>C68</f>
        <v>1.6827838840702162E-2</v>
      </c>
      <c r="E68" s="15">
        <f>D68</f>
        <v>1.6827838840702162E-2</v>
      </c>
      <c r="F68" s="15">
        <f>E68</f>
        <v>1.6827838840702162E-2</v>
      </c>
      <c r="G68" s="15">
        <f>F68</f>
        <v>1.6827838840702162E-2</v>
      </c>
      <c r="H68" s="15">
        <f>G68</f>
        <v>1.6827838840702162E-2</v>
      </c>
      <c r="I68" s="15">
        <f>H68</f>
        <v>1.6827838840702162E-2</v>
      </c>
      <c r="J68" s="15">
        <f>I68</f>
        <v>1.6827838840702162E-2</v>
      </c>
      <c r="K68" s="15">
        <f>J68</f>
        <v>1.6827838840702162E-2</v>
      </c>
      <c r="L68" s="15">
        <f>K68</f>
        <v>1.6827838840702162E-2</v>
      </c>
      <c r="M68" s="163" t="s">
        <v>181</v>
      </c>
    </row>
    <row r="69" spans="1:13">
      <c r="A69" s="2" t="s">
        <v>193</v>
      </c>
      <c r="B69" s="168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30"/>
    </row>
    <row r="70" spans="1:13" ht="172.5">
      <c r="A70" s="1" t="s">
        <v>194</v>
      </c>
      <c r="B70" s="186"/>
      <c r="C70" s="52">
        <v>2.2999999999999998</v>
      </c>
      <c r="D70" s="52">
        <v>2.2000000000000002</v>
      </c>
      <c r="E70" s="52">
        <v>2.1</v>
      </c>
      <c r="F70" s="52">
        <v>2</v>
      </c>
      <c r="G70" s="52">
        <v>2</v>
      </c>
      <c r="H70" s="28">
        <f>G70</f>
        <v>2</v>
      </c>
      <c r="I70" s="28">
        <f>H70</f>
        <v>2</v>
      </c>
      <c r="J70" s="28">
        <f>I70</f>
        <v>2</v>
      </c>
      <c r="K70" s="28">
        <f>J70</f>
        <v>2</v>
      </c>
      <c r="L70" s="28">
        <f>K70</f>
        <v>2</v>
      </c>
      <c r="M70" s="163" t="s">
        <v>195</v>
      </c>
    </row>
    <row r="71" spans="1:13" ht="30.75">
      <c r="A71" s="1" t="s">
        <v>196</v>
      </c>
      <c r="B71" s="174"/>
      <c r="C71" s="54">
        <f>AVERAGE(Historical!B210:F210)</f>
        <v>9.2589370777514876E-2</v>
      </c>
      <c r="D71" s="15">
        <f>C71</f>
        <v>9.2589370777514876E-2</v>
      </c>
      <c r="E71" s="15">
        <f>D71</f>
        <v>9.2589370777514876E-2</v>
      </c>
      <c r="F71" s="15">
        <f>E71</f>
        <v>9.2589370777514876E-2</v>
      </c>
      <c r="G71" s="15">
        <f>F71</f>
        <v>9.2589370777514876E-2</v>
      </c>
      <c r="H71" s="15">
        <f>G71</f>
        <v>9.2589370777514876E-2</v>
      </c>
      <c r="I71" s="15">
        <f>H71</f>
        <v>9.2589370777514876E-2</v>
      </c>
      <c r="J71" s="15">
        <f>I71</f>
        <v>9.2589370777514876E-2</v>
      </c>
      <c r="K71" s="15">
        <f>J71</f>
        <v>9.2589370777514876E-2</v>
      </c>
      <c r="L71" s="15">
        <f>K71</f>
        <v>9.2589370777514876E-2</v>
      </c>
      <c r="M71" s="163" t="s">
        <v>197</v>
      </c>
    </row>
    <row r="72" spans="1:13" ht="153">
      <c r="A72" s="1" t="s">
        <v>198</v>
      </c>
      <c r="B72" s="174"/>
      <c r="C72" s="22">
        <v>0</v>
      </c>
      <c r="D72" s="22">
        <v>1</v>
      </c>
      <c r="E72" s="22">
        <v>1</v>
      </c>
      <c r="F72" s="22">
        <v>1</v>
      </c>
      <c r="G72" s="22">
        <v>1</v>
      </c>
      <c r="H72" s="15">
        <f>G72</f>
        <v>1</v>
      </c>
      <c r="I72" s="15">
        <f>H72</f>
        <v>1</v>
      </c>
      <c r="J72" s="15">
        <f>I72</f>
        <v>1</v>
      </c>
      <c r="K72" s="15">
        <f>J72</f>
        <v>1</v>
      </c>
      <c r="L72" s="15">
        <f>K72</f>
        <v>1</v>
      </c>
      <c r="M72" s="163" t="s">
        <v>199</v>
      </c>
    </row>
    <row r="73" spans="1:13" ht="101.25">
      <c r="A73" s="1" t="s">
        <v>200</v>
      </c>
      <c r="B73" s="178"/>
      <c r="C73" s="56">
        <f>Historical!H205*4/3</f>
        <v>2.8459981237347551</v>
      </c>
      <c r="D73" s="17">
        <f>C73*(1+D74)</f>
        <v>3.045217992396188</v>
      </c>
      <c r="E73" s="17">
        <f>D73*(1+E74)</f>
        <v>3.2583832518639211</v>
      </c>
      <c r="F73" s="17">
        <f>E73*(1+F74)</f>
        <v>3.4864700794943957</v>
      </c>
      <c r="G73" s="17">
        <f>F73*(1+G74)</f>
        <v>3.7305229850590038</v>
      </c>
      <c r="H73" s="17">
        <f>G73*(1+H74)</f>
        <v>3.9618154101326621</v>
      </c>
      <c r="I73" s="17">
        <f>H73*(1+I74)</f>
        <v>4.1757534422798264</v>
      </c>
      <c r="J73" s="17">
        <f>I73*(1+J74)</f>
        <v>4.3678381006246987</v>
      </c>
      <c r="K73" s="17">
        <f>J73*(1+K74)</f>
        <v>4.5338159484484377</v>
      </c>
      <c r="L73" s="17">
        <f>K73*(1+L74)</f>
        <v>4.6698304269018909</v>
      </c>
      <c r="M73" s="163" t="s">
        <v>201</v>
      </c>
    </row>
    <row r="74" spans="1:13" ht="122.25">
      <c r="A74" s="1" t="s">
        <v>202</v>
      </c>
      <c r="B74" s="174"/>
      <c r="C74" s="15"/>
      <c r="D74" s="22">
        <v>7.0000000000000007E-2</v>
      </c>
      <c r="E74" s="22">
        <v>7.0000000000000007E-2</v>
      </c>
      <c r="F74" s="22">
        <v>7.0000000000000007E-2</v>
      </c>
      <c r="G74" s="22">
        <v>7.0000000000000007E-2</v>
      </c>
      <c r="H74" s="15">
        <f>$G74+(C7-$G74)*(H5-5)/5</f>
        <v>6.2000000000000006E-2</v>
      </c>
      <c r="I74" s="15">
        <f>$G74+(C7-$G74)*(I5-5)/5</f>
        <v>5.4000000000000006E-2</v>
      </c>
      <c r="J74" s="15">
        <f>$G74+(C7-$G74)*(J5-5)/5</f>
        <v>4.5999999999999999E-2</v>
      </c>
      <c r="K74" s="15">
        <f>$G74+(C7-$G74)*(K5-5)/5</f>
        <v>3.7999999999999999E-2</v>
      </c>
      <c r="L74" s="15">
        <f>$G74+(C7-$G74)*(L5-5)/5</f>
        <v>0.03</v>
      </c>
      <c r="M74" s="163" t="s">
        <v>203</v>
      </c>
    </row>
    <row r="75" spans="1:13" ht="81">
      <c r="A75" s="1" t="s">
        <v>204</v>
      </c>
      <c r="B75" s="174"/>
      <c r="C75" s="22">
        <v>8.0000000000000002E-3</v>
      </c>
      <c r="D75" s="15">
        <f>C75</f>
        <v>8.0000000000000002E-3</v>
      </c>
      <c r="E75" s="15">
        <f>D75</f>
        <v>8.0000000000000002E-3</v>
      </c>
      <c r="F75" s="15">
        <f>E75</f>
        <v>8.0000000000000002E-3</v>
      </c>
      <c r="G75" s="15">
        <f>F75</f>
        <v>8.0000000000000002E-3</v>
      </c>
      <c r="H75" s="15">
        <f>G75</f>
        <v>8.0000000000000002E-3</v>
      </c>
      <c r="I75" s="15">
        <f>H75</f>
        <v>8.0000000000000002E-3</v>
      </c>
      <c r="J75" s="15">
        <f>I75</f>
        <v>8.0000000000000002E-3</v>
      </c>
      <c r="K75" s="15">
        <f>J75</f>
        <v>8.0000000000000002E-3</v>
      </c>
      <c r="L75" s="15">
        <f>K75</f>
        <v>8.0000000000000002E-3</v>
      </c>
      <c r="M75" s="163" t="s">
        <v>205</v>
      </c>
    </row>
    <row r="76" spans="1:13" ht="51">
      <c r="A76" s="1" t="s">
        <v>206</v>
      </c>
      <c r="B76" s="174"/>
      <c r="C76" s="54">
        <f>WACC!B27-C73/WACC!B6</f>
        <v>7.2262436465070259E-2</v>
      </c>
      <c r="D76" s="15">
        <f>C76</f>
        <v>7.2262436465070259E-2</v>
      </c>
      <c r="E76" s="15">
        <f>D76</f>
        <v>7.2262436465070259E-2</v>
      </c>
      <c r="F76" s="15">
        <f>E76</f>
        <v>7.2262436465070259E-2</v>
      </c>
      <c r="G76" s="15">
        <f>F76</f>
        <v>7.2262436465070259E-2</v>
      </c>
      <c r="H76" s="15">
        <f>G76</f>
        <v>7.2262436465070259E-2</v>
      </c>
      <c r="I76" s="15">
        <f>H76</f>
        <v>7.2262436465070259E-2</v>
      </c>
      <c r="J76" s="15">
        <f>I76</f>
        <v>7.2262436465070259E-2</v>
      </c>
      <c r="K76" s="15">
        <f>J76</f>
        <v>7.2262436465070259E-2</v>
      </c>
      <c r="L76" s="15">
        <f>K76</f>
        <v>7.2262436465070259E-2</v>
      </c>
      <c r="M76" s="163" t="s">
        <v>207</v>
      </c>
    </row>
    <row r="77" spans="1:13" ht="41.25">
      <c r="A77" s="1" t="s">
        <v>208</v>
      </c>
      <c r="B77" s="178"/>
      <c r="C77" s="56">
        <f>WACC!$B$6*(1+C76)^(C5-1)</f>
        <v>191.6</v>
      </c>
      <c r="D77" s="56">
        <f>WACC!$B$6*(1+D76)^(D5-1)</f>
        <v>205.44548282670746</v>
      </c>
      <c r="E77" s="56">
        <f>WACC!$B$6*(1+E76)^(E5-1)</f>
        <v>220.29147397650812</v>
      </c>
      <c r="F77" s="56">
        <f>WACC!$B$6*(1+F76)^(F5-1)</f>
        <v>236.21027261853223</v>
      </c>
      <c r="G77" s="56">
        <f>WACC!$B$6*(1+G76)^(G5-1)</f>
        <v>253.27940243602583</v>
      </c>
      <c r="H77" s="56">
        <f>WACC!$B$6*(1+H76)^(H5-1)</f>
        <v>271.58198916247017</v>
      </c>
      <c r="I77" s="56">
        <f>WACC!$B$6*(1+I76)^(I5-1)</f>
        <v>291.20716539938053</v>
      </c>
      <c r="J77" s="56">
        <f>WACC!$B$6*(1+J76)^(J5-1)</f>
        <v>312.25050468722651</v>
      </c>
      <c r="K77" s="56">
        <f>WACC!$B$6*(1+K76)^(K5-1)</f>
        <v>334.81448694337331</v>
      </c>
      <c r="L77" s="56">
        <f>WACC!$B$6*(1+L76)^(L5-1)</f>
        <v>359.00899753370396</v>
      </c>
      <c r="M77" s="163" t="s">
        <v>209</v>
      </c>
    </row>
    <row r="78" spans="1:13" ht="101.25">
      <c r="A78" s="1" t="s">
        <v>210</v>
      </c>
      <c r="B78" s="174"/>
      <c r="C78" s="54">
        <f>(Historical!E138+Historical!F29-Historical!F138)/Historical!F29</f>
        <v>0.73293768545994065</v>
      </c>
      <c r="D78" s="15">
        <f>C78</f>
        <v>0.73293768545994065</v>
      </c>
      <c r="E78" s="15">
        <f>D78</f>
        <v>0.73293768545994065</v>
      </c>
      <c r="F78" s="15">
        <f>E78</f>
        <v>0.73293768545994065</v>
      </c>
      <c r="G78" s="15">
        <f>F78</f>
        <v>0.73293768545994065</v>
      </c>
      <c r="H78" s="15">
        <f>G78</f>
        <v>0.73293768545994065</v>
      </c>
      <c r="I78" s="15">
        <f>H78</f>
        <v>0.73293768545994065</v>
      </c>
      <c r="J78" s="15">
        <f>I78</f>
        <v>0.73293768545994065</v>
      </c>
      <c r="K78" s="15">
        <f>J78</f>
        <v>0.73293768545994065</v>
      </c>
      <c r="L78" s="15">
        <f>K78</f>
        <v>0.73293768545994065</v>
      </c>
      <c r="M78" s="163" t="s">
        <v>211</v>
      </c>
    </row>
    <row r="79" spans="1:13">
      <c r="A79" s="2" t="s">
        <v>212</v>
      </c>
      <c r="B79" s="168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30"/>
    </row>
    <row r="80" spans="1:13" ht="60.75">
      <c r="A80" s="1" t="s">
        <v>213</v>
      </c>
      <c r="B80" s="174"/>
      <c r="C80" s="22">
        <v>5.0000000000000001E-3</v>
      </c>
      <c r="D80" s="15"/>
      <c r="E80" s="15"/>
      <c r="F80" s="15"/>
      <c r="G80" s="15"/>
      <c r="H80" s="15"/>
      <c r="I80" s="15"/>
      <c r="J80" s="15"/>
      <c r="K80" s="15"/>
      <c r="L80" s="15"/>
      <c r="M80" s="163" t="s">
        <v>214</v>
      </c>
    </row>
    <row r="81" spans="1:13" ht="60.75">
      <c r="A81" s="1" t="s">
        <v>215</v>
      </c>
      <c r="B81" s="174"/>
      <c r="C81" s="22">
        <v>5.0000000000000001E-3</v>
      </c>
      <c r="D81" s="15"/>
      <c r="E81" s="15"/>
      <c r="F81" s="15"/>
      <c r="G81" s="15"/>
      <c r="H81" s="15"/>
      <c r="I81" s="15"/>
      <c r="J81" s="15"/>
      <c r="K81" s="15"/>
      <c r="L81" s="15"/>
      <c r="M81" s="163" t="s">
        <v>214</v>
      </c>
    </row>
    <row r="82" spans="1:13" ht="101.25">
      <c r="A82" s="1" t="s">
        <v>216</v>
      </c>
      <c r="B82" s="174"/>
      <c r="C82" s="22">
        <v>0.01</v>
      </c>
      <c r="D82" s="15"/>
      <c r="E82" s="15"/>
      <c r="F82" s="15"/>
      <c r="G82" s="15"/>
      <c r="H82" s="15"/>
      <c r="I82" s="15"/>
      <c r="J82" s="15"/>
      <c r="K82" s="15"/>
      <c r="L82" s="15"/>
      <c r="M82" s="163" t="s">
        <v>217</v>
      </c>
    </row>
    <row r="83" spans="1:13" ht="60.75">
      <c r="A83" s="1" t="s">
        <v>218</v>
      </c>
      <c r="B83" s="174"/>
      <c r="C83" s="22">
        <v>5.0000000000000001E-3</v>
      </c>
      <c r="D83" s="15"/>
      <c r="E83" s="15"/>
      <c r="F83" s="15"/>
      <c r="G83" s="15"/>
      <c r="H83" s="15"/>
      <c r="I83" s="15"/>
      <c r="J83" s="15"/>
      <c r="K83" s="15"/>
      <c r="L83" s="15"/>
      <c r="M83" s="163" t="s">
        <v>219</v>
      </c>
    </row>
    <row r="84" spans="1:13">
      <c r="A84" s="2" t="s">
        <v>220</v>
      </c>
      <c r="B84" s="168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30"/>
    </row>
    <row r="85" spans="1:13">
      <c r="A85" s="1" t="s">
        <v>221</v>
      </c>
      <c r="B85" s="169"/>
      <c r="C85" s="6"/>
      <c r="D85" s="6"/>
      <c r="E85" s="6"/>
      <c r="F85" s="6"/>
      <c r="G85" s="6"/>
      <c r="H85" s="6"/>
      <c r="I85" s="6"/>
      <c r="J85" s="6"/>
      <c r="K85" s="6"/>
      <c r="L85" s="6"/>
      <c r="M85" s="163"/>
    </row>
    <row r="86" spans="1:13">
      <c r="A86" s="1" t="s">
        <v>222</v>
      </c>
      <c r="B86" s="169"/>
      <c r="C86" s="6"/>
      <c r="D86" s="6"/>
      <c r="E86" s="6"/>
      <c r="F86" s="6"/>
      <c r="G86" s="6"/>
      <c r="H86" s="6"/>
      <c r="I86" s="6"/>
      <c r="J86" s="6"/>
      <c r="K86" s="6"/>
      <c r="L86" s="6"/>
      <c r="M86" s="163"/>
    </row>
    <row r="87" spans="1:13">
      <c r="A87" s="1" t="s">
        <v>223</v>
      </c>
      <c r="B87" s="169"/>
      <c r="C87" s="6"/>
      <c r="D87" s="6"/>
      <c r="E87" s="6"/>
      <c r="F87" s="6"/>
      <c r="G87" s="6"/>
      <c r="H87" s="6"/>
      <c r="I87" s="6"/>
      <c r="J87" s="6"/>
      <c r="K87" s="6"/>
      <c r="L87" s="6"/>
      <c r="M87" s="163"/>
    </row>
    <row r="88" spans="1:13">
      <c r="A88" s="1" t="s">
        <v>224</v>
      </c>
      <c r="B88" s="169"/>
      <c r="C88" s="6"/>
      <c r="D88" s="6"/>
      <c r="E88" s="6"/>
      <c r="F88" s="6"/>
      <c r="G88" s="6"/>
      <c r="H88" s="6"/>
      <c r="I88" s="6"/>
      <c r="J88" s="6"/>
      <c r="K88" s="6"/>
      <c r="L88" s="6"/>
      <c r="M88" s="163"/>
    </row>
    <row r="90" spans="1:13">
      <c r="A90" s="2" t="s">
        <v>225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83">
      <c r="A91" s="1" t="s">
        <v>226</v>
      </c>
      <c r="C91" s="74">
        <v>0</v>
      </c>
      <c r="M91" s="163" t="s">
        <v>227</v>
      </c>
    </row>
    <row r="92" spans="1:13" ht="153">
      <c r="A92" s="1" t="s">
        <v>228</v>
      </c>
      <c r="C92" s="74">
        <v>0</v>
      </c>
      <c r="M92" s="163" t="s">
        <v>229</v>
      </c>
    </row>
    <row r="93" spans="1:13" ht="223.5">
      <c r="A93" s="1" t="s">
        <v>230</v>
      </c>
      <c r="C93" s="74">
        <v>0</v>
      </c>
      <c r="M93" s="163" t="s">
        <v>231</v>
      </c>
    </row>
    <row r="94" spans="1:13" ht="101.25">
      <c r="A94" s="1" t="s">
        <v>232</v>
      </c>
      <c r="C94" s="216" t="s">
        <v>233</v>
      </c>
      <c r="M94" s="163" t="s">
        <v>234</v>
      </c>
    </row>
    <row r="95" spans="1:13" ht="111.75">
      <c r="A95" s="1" t="s">
        <v>235</v>
      </c>
      <c r="C95" s="216" t="s">
        <v>236</v>
      </c>
      <c r="M95" s="163" t="s">
        <v>237</v>
      </c>
    </row>
  </sheetData>
  <printOptions horizontalCentered="1" gridLinesSet="0"/>
  <pageMargins left="0.5" right="0.5" top="0.5" bottom="0.5" header="0.25" footer="0.25"/>
  <pageSetup firstPageNumber="0" fitToHeight="2" orientation="landscape" horizontalDpi="0" verticalDpi="0" copies="0"/>
  <headerFooter>
    <oddFooter>&amp;C&amp;"Arial"&amp;8Point Alpha Capital | PA-RTX-Model | Assumptions |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56522-0723-4F32-8B0C-FAB27B922D7E}">
  <sheetPr>
    <tabColor rgb="FFA6A6A6"/>
    <pageSetUpPr fitToPage="1"/>
  </sheetPr>
  <dimension ref="A1:Z21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26" width="9.140625" style="1"/>
  </cols>
  <sheetData>
    <row r="1" spans="1:11">
      <c r="A1" s="1" t="s">
        <v>238</v>
      </c>
    </row>
    <row r="2" spans="1:11">
      <c r="A2" s="1" t="s">
        <v>239</v>
      </c>
    </row>
    <row r="4" spans="1:11">
      <c r="A4" s="23" t="s">
        <v>240</v>
      </c>
      <c r="B4" s="23" t="s">
        <v>34</v>
      </c>
      <c r="C4" s="23" t="s">
        <v>36</v>
      </c>
      <c r="D4" s="23" t="s">
        <v>38</v>
      </c>
      <c r="E4" s="23" t="s">
        <v>40</v>
      </c>
      <c r="F4" s="23" t="s">
        <v>42</v>
      </c>
      <c r="G4" s="23" t="s">
        <v>241</v>
      </c>
      <c r="H4" s="23" t="s">
        <v>242</v>
      </c>
      <c r="I4" s="23" t="s">
        <v>243</v>
      </c>
      <c r="J4" s="23" t="s">
        <v>244</v>
      </c>
      <c r="K4" s="23" t="s">
        <v>245</v>
      </c>
    </row>
    <row r="6" spans="1:11">
      <c r="A6" s="2" t="s">
        <v>246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1" t="s">
        <v>247</v>
      </c>
      <c r="B7" s="3">
        <v>49270</v>
      </c>
      <c r="C7" s="3">
        <v>50773</v>
      </c>
      <c r="D7" s="3">
        <v>49571</v>
      </c>
      <c r="E7" s="3">
        <v>59612</v>
      </c>
      <c r="F7" s="3">
        <v>64171</v>
      </c>
      <c r="G7" s="4" t="s">
        <v>248</v>
      </c>
      <c r="H7" s="4" t="s">
        <v>248</v>
      </c>
      <c r="I7" s="4" t="s">
        <v>248</v>
      </c>
      <c r="J7" s="6" t="str">
        <f>IF(COUNT(F7,G7,H7)=3,F7+H7-G7,"n/d")</f>
        <v>n/d</v>
      </c>
      <c r="K7" s="1" t="s">
        <v>249</v>
      </c>
    </row>
    <row r="8" spans="1:11">
      <c r="A8" s="1" t="s">
        <v>250</v>
      </c>
      <c r="B8" s="3">
        <v>15118</v>
      </c>
      <c r="C8" s="3">
        <v>16301</v>
      </c>
      <c r="D8" s="3">
        <v>19349</v>
      </c>
      <c r="E8" s="3">
        <v>21126</v>
      </c>
      <c r="F8" s="3">
        <v>24432</v>
      </c>
      <c r="G8" s="4" t="s">
        <v>248</v>
      </c>
      <c r="H8" s="4" t="s">
        <v>248</v>
      </c>
      <c r="I8" s="4" t="s">
        <v>248</v>
      </c>
      <c r="J8" s="6" t="str">
        <f>IF(COUNT(F8,G8,H8)=3,F8+H8-G8,"n/d")</f>
        <v>n/d</v>
      </c>
      <c r="K8" s="1" t="s">
        <v>251</v>
      </c>
    </row>
    <row r="9" spans="1:11">
      <c r="A9" s="7" t="s">
        <v>252</v>
      </c>
      <c r="B9" s="9">
        <f>B7+B8</f>
        <v>64388</v>
      </c>
      <c r="C9" s="9">
        <f>C7+C8</f>
        <v>67074</v>
      </c>
      <c r="D9" s="9">
        <f>D7+D8</f>
        <v>68920</v>
      </c>
      <c r="E9" s="9">
        <f>E7+E8</f>
        <v>80738</v>
      </c>
      <c r="F9" s="9">
        <f>F7+F8</f>
        <v>88603</v>
      </c>
      <c r="G9" s="10">
        <v>64365</v>
      </c>
      <c r="H9" s="10">
        <v>71749</v>
      </c>
      <c r="I9" s="10">
        <v>24965</v>
      </c>
      <c r="J9" s="9">
        <f>IF(COUNT(F9,G9,H9)=3,F9+H9-G9,"n/d")</f>
        <v>95987</v>
      </c>
      <c r="K9" s="7" t="s">
        <v>253</v>
      </c>
    </row>
    <row r="10" spans="1:11">
      <c r="A10" s="1" t="s">
        <v>254</v>
      </c>
      <c r="B10" s="3">
        <v>0</v>
      </c>
      <c r="C10" s="3">
        <v>0</v>
      </c>
      <c r="D10" s="3">
        <v>-5401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6">
        <f>IF(COUNT(F10,G10,H10)=3,F10+H10-G10,"n/d")</f>
        <v>0</v>
      </c>
      <c r="K10" s="1" t="s">
        <v>255</v>
      </c>
    </row>
    <row r="11" spans="1:11">
      <c r="A11" s="1" t="s">
        <v>256</v>
      </c>
      <c r="B11" s="3">
        <v>41095</v>
      </c>
      <c r="C11" s="3">
        <v>41927</v>
      </c>
      <c r="D11" s="3">
        <v>43425</v>
      </c>
      <c r="E11" s="3">
        <v>50768</v>
      </c>
      <c r="F11" s="3">
        <v>53780</v>
      </c>
      <c r="G11" s="4" t="s">
        <v>248</v>
      </c>
      <c r="H11" s="4" t="s">
        <v>248</v>
      </c>
      <c r="I11" s="4" t="s">
        <v>248</v>
      </c>
      <c r="J11" s="6" t="str">
        <f>IF(COUNT(F11,G11,H11)=3,F11+H11-G11,"n/d")</f>
        <v>n/d</v>
      </c>
      <c r="K11" s="1" t="s">
        <v>257</v>
      </c>
    </row>
    <row r="12" spans="1:11">
      <c r="A12" s="1" t="s">
        <v>258</v>
      </c>
      <c r="B12" s="3">
        <v>10802</v>
      </c>
      <c r="C12" s="3">
        <v>11479</v>
      </c>
      <c r="D12" s="3">
        <v>13406</v>
      </c>
      <c r="E12" s="3">
        <v>14560</v>
      </c>
      <c r="F12" s="3">
        <v>17034</v>
      </c>
      <c r="G12" s="4" t="s">
        <v>248</v>
      </c>
      <c r="H12" s="4" t="s">
        <v>248</v>
      </c>
      <c r="I12" s="4" t="s">
        <v>248</v>
      </c>
      <c r="J12" s="6" t="str">
        <f>IF(COUNT(F12,G12,H12)=3,F12+H12-G12,"n/d")</f>
        <v>n/d</v>
      </c>
      <c r="K12" s="1" t="s">
        <v>259</v>
      </c>
    </row>
    <row r="13" spans="1:11">
      <c r="A13" s="1" t="s">
        <v>260</v>
      </c>
      <c r="B13" s="12">
        <f>B11+B12</f>
        <v>51897</v>
      </c>
      <c r="C13" s="12">
        <f>C11+C12</f>
        <v>53406</v>
      </c>
      <c r="D13" s="12">
        <f>D11+D12</f>
        <v>56831</v>
      </c>
      <c r="E13" s="12">
        <f>E11+E12</f>
        <v>65328</v>
      </c>
      <c r="F13" s="12">
        <f>F11+F12</f>
        <v>70814</v>
      </c>
      <c r="G13" s="13">
        <v>51293</v>
      </c>
      <c r="H13" s="13">
        <v>56217</v>
      </c>
      <c r="I13" s="13">
        <v>19160</v>
      </c>
      <c r="J13" s="12">
        <f>IF(COUNT(F13,G13,H13)=3,F13+H13-G13,"n/d")</f>
        <v>75738</v>
      </c>
      <c r="K13" s="1" t="s">
        <v>261</v>
      </c>
    </row>
    <row r="14" spans="1:11">
      <c r="A14" s="7" t="s">
        <v>262</v>
      </c>
      <c r="B14" s="14">
        <f>B9-B13</f>
        <v>12491</v>
      </c>
      <c r="C14" s="14">
        <f>C9-C13</f>
        <v>13668</v>
      </c>
      <c r="D14" s="14">
        <f>D9-D13</f>
        <v>12089</v>
      </c>
      <c r="E14" s="14">
        <f>E9-E13</f>
        <v>15410</v>
      </c>
      <c r="F14" s="14">
        <f>F9-F13</f>
        <v>17789</v>
      </c>
      <c r="G14" s="14">
        <f>G9-G13</f>
        <v>13072</v>
      </c>
      <c r="H14" s="14">
        <f>H9-H13</f>
        <v>15532</v>
      </c>
      <c r="I14" s="14">
        <f>I9-I13</f>
        <v>5805</v>
      </c>
      <c r="J14" s="14">
        <f>J9-J13</f>
        <v>20249</v>
      </c>
      <c r="K14" s="7" t="s">
        <v>263</v>
      </c>
    </row>
    <row r="15" spans="1:11">
      <c r="A15" s="1" t="s">
        <v>264</v>
      </c>
      <c r="B15" s="15">
        <f>B14/B9</f>
        <v>0.19399577561036219</v>
      </c>
      <c r="C15" s="15">
        <f>C14/C9</f>
        <v>0.20377493514625639</v>
      </c>
      <c r="D15" s="15">
        <f>D14/D9</f>
        <v>0.17540626813697041</v>
      </c>
      <c r="E15" s="15">
        <f>E14/E9</f>
        <v>0.19086427704426664</v>
      </c>
      <c r="F15" s="15">
        <f>F14/F9</f>
        <v>0.20077198288996986</v>
      </c>
      <c r="G15" s="15">
        <f>G14/G9</f>
        <v>0.20309174240658742</v>
      </c>
      <c r="H15" s="15">
        <f>H14/H9</f>
        <v>0.21647688469525708</v>
      </c>
      <c r="I15" s="15">
        <f>I14/I9</f>
        <v>0.23252553575005008</v>
      </c>
      <c r="J15" s="15">
        <f>J14/J9</f>
        <v>0.2109556502443039</v>
      </c>
      <c r="K15" s="1" t="s">
        <v>265</v>
      </c>
    </row>
    <row r="16" spans="1:11">
      <c r="A16" s="1" t="s">
        <v>266</v>
      </c>
      <c r="B16" s="3">
        <v>2732</v>
      </c>
      <c r="C16" s="3">
        <v>2711</v>
      </c>
      <c r="D16" s="3">
        <v>2805</v>
      </c>
      <c r="E16" s="3">
        <v>2934</v>
      </c>
      <c r="F16" s="3">
        <v>2807</v>
      </c>
      <c r="G16" s="3">
        <v>2018</v>
      </c>
      <c r="H16" s="3">
        <v>2064</v>
      </c>
      <c r="I16" s="3">
        <v>711</v>
      </c>
      <c r="J16" s="6">
        <f>IF(COUNT(F16,G16,H16)=3,F16+H16-G16,"n/d")</f>
        <v>2853</v>
      </c>
      <c r="K16" s="1" t="s">
        <v>267</v>
      </c>
    </row>
    <row r="17" spans="1:11">
      <c r="A17" s="1" t="s">
        <v>268</v>
      </c>
      <c r="B17" s="3">
        <v>5046</v>
      </c>
      <c r="C17" s="3">
        <v>5573</v>
      </c>
      <c r="D17" s="3">
        <v>5809</v>
      </c>
      <c r="E17" s="3">
        <v>5806</v>
      </c>
      <c r="F17" s="3">
        <v>6095</v>
      </c>
      <c r="G17" s="3">
        <v>4457</v>
      </c>
      <c r="H17" s="3">
        <v>5052</v>
      </c>
      <c r="I17" s="3">
        <v>1918</v>
      </c>
      <c r="J17" s="6">
        <f>IF(COUNT(F17,G17,H17)=3,F17+H17-G17,"n/d")</f>
        <v>6690</v>
      </c>
      <c r="K17" s="1" t="s">
        <v>269</v>
      </c>
    </row>
    <row r="18" spans="1:11">
      <c r="A18" s="1" t="s">
        <v>270</v>
      </c>
      <c r="B18" s="3">
        <v>423</v>
      </c>
      <c r="C18" s="3">
        <v>120</v>
      </c>
      <c r="D18" s="3">
        <v>86</v>
      </c>
      <c r="E18" s="3">
        <v>-132</v>
      </c>
      <c r="F18" s="3">
        <v>413</v>
      </c>
      <c r="G18" s="3">
        <v>107</v>
      </c>
      <c r="H18" s="3">
        <v>287</v>
      </c>
      <c r="I18" s="3">
        <v>161</v>
      </c>
      <c r="J18" s="6">
        <f>IF(COUNT(F18,G18,H18)=3,F18+H18-G18,"n/d")</f>
        <v>593</v>
      </c>
      <c r="K18" s="1" t="s">
        <v>271</v>
      </c>
    </row>
    <row r="19" spans="1:11">
      <c r="A19" s="7" t="s">
        <v>272</v>
      </c>
      <c r="B19" s="9">
        <f>B14-B16-B17+B18</f>
        <v>5136</v>
      </c>
      <c r="C19" s="9">
        <f>C14-C16-C17+C18</f>
        <v>5504</v>
      </c>
      <c r="D19" s="9">
        <f>D14-D16-D17+D18</f>
        <v>3561</v>
      </c>
      <c r="E19" s="9">
        <f>E14-E16-E17+E18</f>
        <v>6538</v>
      </c>
      <c r="F19" s="9">
        <f>F14-F16-F17+F18</f>
        <v>9300</v>
      </c>
      <c r="G19" s="9">
        <f>G14-G16-G17+G18</f>
        <v>6704</v>
      </c>
      <c r="H19" s="9">
        <f>H14-H16-H17+H18</f>
        <v>8703</v>
      </c>
      <c r="I19" s="9">
        <f>I14-I16-I17+I18</f>
        <v>3337</v>
      </c>
      <c r="J19" s="9">
        <f>J14-J16-J17+J18</f>
        <v>11299</v>
      </c>
      <c r="K19" s="7" t="s">
        <v>273</v>
      </c>
    </row>
    <row r="20" spans="1:11">
      <c r="A20" s="1" t="s">
        <v>274</v>
      </c>
      <c r="B20" s="15">
        <f>B19/B9</f>
        <v>7.976641610237932E-2</v>
      </c>
      <c r="C20" s="15">
        <f>C19/C9</f>
        <v>8.2058621820675678E-2</v>
      </c>
      <c r="D20" s="15">
        <f>D19/D9</f>
        <v>5.1668601276842717E-2</v>
      </c>
      <c r="E20" s="15">
        <f>E19/E9</f>
        <v>8.097797815155193E-2</v>
      </c>
      <c r="F20" s="15">
        <f>F19/F9</f>
        <v>0.10496258591695541</v>
      </c>
      <c r="G20" s="15">
        <f>G19/G9</f>
        <v>0.10415598539578964</v>
      </c>
      <c r="H20" s="15">
        <f>H19/H9</f>
        <v>0.12129785780986495</v>
      </c>
      <c r="I20" s="15">
        <f>I19/I9</f>
        <v>0.13366713398758262</v>
      </c>
      <c r="J20" s="15">
        <f>J19/J9</f>
        <v>0.11771385708481356</v>
      </c>
      <c r="K20" s="1" t="s">
        <v>265</v>
      </c>
    </row>
    <row r="21" spans="1:11">
      <c r="A21" s="1" t="s">
        <v>275</v>
      </c>
      <c r="B21" s="3">
        <v>0</v>
      </c>
      <c r="C21" s="3">
        <v>0</v>
      </c>
      <c r="D21" s="3">
        <v>-2900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6">
        <f>IF(COUNT(F21,G21,H21)=3,F21+H21-G21,"n/d")</f>
        <v>0</v>
      </c>
      <c r="K21" s="1" t="s">
        <v>276</v>
      </c>
    </row>
    <row r="22" spans="1:11">
      <c r="A22" s="1" t="s">
        <v>163</v>
      </c>
      <c r="B22" s="3">
        <v>1944</v>
      </c>
      <c r="C22" s="3">
        <v>1889</v>
      </c>
      <c r="D22" s="3">
        <v>1780</v>
      </c>
      <c r="E22" s="3">
        <v>1518</v>
      </c>
      <c r="F22" s="3">
        <v>1182</v>
      </c>
      <c r="G22" s="3">
        <v>1081</v>
      </c>
      <c r="H22" s="3">
        <v>1048</v>
      </c>
      <c r="I22" s="3">
        <v>345</v>
      </c>
      <c r="J22" s="6">
        <f>IF(COUNT(F22,G22,H22)=3,F22+H22-G22,"n/d")</f>
        <v>1149</v>
      </c>
      <c r="K22" s="1" t="s">
        <v>277</v>
      </c>
    </row>
    <row r="23" spans="1:11">
      <c r="A23" s="1" t="s">
        <v>278</v>
      </c>
      <c r="B23" s="3">
        <v>649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6">
        <f>IF(COUNT(F23,G23,H23)=3,F23+H23-G23,"n/d")</f>
        <v>0</v>
      </c>
      <c r="K23" s="1" t="s">
        <v>279</v>
      </c>
    </row>
    <row r="24" spans="1:11">
      <c r="A24" s="1" t="s">
        <v>280</v>
      </c>
      <c r="B24" s="3">
        <v>1322</v>
      </c>
      <c r="C24" s="3">
        <v>1276</v>
      </c>
      <c r="D24" s="3">
        <v>1505</v>
      </c>
      <c r="E24" s="3">
        <v>1862</v>
      </c>
      <c r="F24" s="3">
        <v>1749</v>
      </c>
      <c r="G24" s="3">
        <v>1349</v>
      </c>
      <c r="H24" s="3">
        <v>1188</v>
      </c>
      <c r="I24" s="3">
        <v>381</v>
      </c>
      <c r="J24" s="6">
        <f>IF(COUNT(F24,G24,H24)=3,F24+H24-G24,"n/d")</f>
        <v>1588</v>
      </c>
      <c r="K24" s="1" t="s">
        <v>281</v>
      </c>
    </row>
    <row r="25" spans="1:11">
      <c r="A25" s="7" t="s">
        <v>282</v>
      </c>
      <c r="B25" s="9">
        <f>B19+B22-B23-B24</f>
        <v>5109</v>
      </c>
      <c r="C25" s="9">
        <f>C19+C22-C23-C24</f>
        <v>6117</v>
      </c>
      <c r="D25" s="9">
        <f>D19+D22-D23-D24</f>
        <v>3836</v>
      </c>
      <c r="E25" s="9">
        <f>E19+E22-E23-E24</f>
        <v>6194</v>
      </c>
      <c r="F25" s="9">
        <f>F19+F22-F23-F24</f>
        <v>8733</v>
      </c>
      <c r="G25" s="9">
        <f>G19+G22-G23-G24</f>
        <v>6436</v>
      </c>
      <c r="H25" s="9">
        <f>H19+H22-H23-H24</f>
        <v>8563</v>
      </c>
      <c r="I25" s="9">
        <f>I19+I22-I23-I24</f>
        <v>3301</v>
      </c>
      <c r="J25" s="9">
        <f>J19+J22-J23-J24</f>
        <v>10860</v>
      </c>
      <c r="K25" s="7" t="s">
        <v>283</v>
      </c>
    </row>
    <row r="26" spans="1:11">
      <c r="A26" s="1" t="s">
        <v>284</v>
      </c>
      <c r="B26" s="3">
        <v>964</v>
      </c>
      <c r="C26" s="3">
        <v>790</v>
      </c>
      <c r="D26" s="3">
        <v>456</v>
      </c>
      <c r="E26" s="3">
        <v>1181</v>
      </c>
      <c r="F26" s="3">
        <v>1664</v>
      </c>
      <c r="G26" s="3">
        <v>1080</v>
      </c>
      <c r="H26" s="3">
        <v>1449</v>
      </c>
      <c r="I26" s="3">
        <v>593</v>
      </c>
      <c r="J26" s="6">
        <f>IF(COUNT(F26,G26,H26)=3,F26+H26-G26,"n/d")</f>
        <v>2033</v>
      </c>
      <c r="K26" s="1" t="s">
        <v>285</v>
      </c>
    </row>
    <row r="27" spans="1:11">
      <c r="A27" s="1" t="s">
        <v>286</v>
      </c>
      <c r="B27" s="15">
        <f>B26/B25</f>
        <v>0.18868663143472303</v>
      </c>
      <c r="C27" s="15">
        <f>C26/C25</f>
        <v>0.12914827529834885</v>
      </c>
      <c r="D27" s="15">
        <f>D26/D25</f>
        <v>0.11887382690302398</v>
      </c>
      <c r="E27" s="15">
        <f>E26/E25</f>
        <v>0.19066838876331935</v>
      </c>
      <c r="F27" s="15">
        <f>F26/F25</f>
        <v>0.19054162372609643</v>
      </c>
      <c r="G27" s="15">
        <f>G26/G25</f>
        <v>0.1678060907395898</v>
      </c>
      <c r="H27" s="15">
        <f>H26/H25</f>
        <v>0.16921639612285413</v>
      </c>
      <c r="I27" s="15">
        <f>I26/I25</f>
        <v>0.17964253256588913</v>
      </c>
      <c r="J27" s="15">
        <f>J26/J25</f>
        <v>0.18720073664825046</v>
      </c>
      <c r="K27" s="1" t="s">
        <v>287</v>
      </c>
    </row>
    <row r="28" spans="1:11">
      <c r="A28" s="1" t="s">
        <v>288</v>
      </c>
      <c r="B28" s="6">
        <f>B25-B26</f>
        <v>4145</v>
      </c>
      <c r="C28" s="6">
        <f>C25-C26</f>
        <v>5327</v>
      </c>
      <c r="D28" s="6">
        <f>D25-D26</f>
        <v>3380</v>
      </c>
      <c r="E28" s="6">
        <f>E25-E26</f>
        <v>5013</v>
      </c>
      <c r="F28" s="6">
        <f>F25-F26</f>
        <v>7069</v>
      </c>
      <c r="G28" s="6">
        <f>G25-G26</f>
        <v>5356</v>
      </c>
      <c r="H28" s="6">
        <f>H25-H26</f>
        <v>7114</v>
      </c>
      <c r="I28" s="6">
        <f>I25-I26</f>
        <v>2708</v>
      </c>
      <c r="J28" s="6">
        <f>J25-J26</f>
        <v>8827</v>
      </c>
      <c r="K28" s="1" t="s">
        <v>265</v>
      </c>
    </row>
    <row r="29" spans="1:11">
      <c r="A29" s="1" t="s">
        <v>289</v>
      </c>
      <c r="B29" s="3">
        <v>248</v>
      </c>
      <c r="C29" s="3">
        <v>111</v>
      </c>
      <c r="D29" s="3">
        <v>185</v>
      </c>
      <c r="E29" s="3">
        <v>239</v>
      </c>
      <c r="F29" s="3">
        <v>337</v>
      </c>
      <c r="G29" s="3">
        <v>246</v>
      </c>
      <c r="H29" s="3">
        <v>333</v>
      </c>
      <c r="I29" s="3">
        <v>125</v>
      </c>
      <c r="J29" s="6">
        <f>IF(COUNT(F29,G29,H29)=3,F29+H29-G29,"n/d")</f>
        <v>424</v>
      </c>
      <c r="K29" s="1" t="s">
        <v>290</v>
      </c>
    </row>
    <row r="30" spans="1:11">
      <c r="A30" s="1" t="s">
        <v>291</v>
      </c>
      <c r="B30" s="3">
        <v>-33</v>
      </c>
      <c r="C30" s="3">
        <v>-19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6">
        <f>IF(COUNT(F30,G30,H30)=3,F30+H30-G30,"n/d")</f>
        <v>0</v>
      </c>
      <c r="K30" s="1" t="s">
        <v>292</v>
      </c>
    </row>
    <row r="31" spans="1:11">
      <c r="A31" s="7" t="s">
        <v>293</v>
      </c>
      <c r="B31" s="9">
        <f>B28-B29+B30</f>
        <v>3864</v>
      </c>
      <c r="C31" s="9">
        <f>C28-C29+C30</f>
        <v>5197</v>
      </c>
      <c r="D31" s="9">
        <f>D28-D29+D30</f>
        <v>3195</v>
      </c>
      <c r="E31" s="9">
        <f>E28-E29+E30</f>
        <v>4774</v>
      </c>
      <c r="F31" s="9">
        <f>F28-F29+F30</f>
        <v>6732</v>
      </c>
      <c r="G31" s="9">
        <f>G28-G29+G30</f>
        <v>5110</v>
      </c>
      <c r="H31" s="9">
        <f>H28-H29+H30</f>
        <v>6781</v>
      </c>
      <c r="I31" s="9">
        <f>I28-I29+I30</f>
        <v>2583</v>
      </c>
      <c r="J31" s="9">
        <f>J28-J29+J30</f>
        <v>8403</v>
      </c>
      <c r="K31" s="7" t="s">
        <v>283</v>
      </c>
    </row>
    <row r="32" spans="1:11">
      <c r="A32" s="1" t="s">
        <v>294</v>
      </c>
      <c r="B32" s="16">
        <v>2.56</v>
      </c>
      <c r="C32" s="16">
        <v>3.5</v>
      </c>
      <c r="D32" s="16">
        <v>2.23</v>
      </c>
      <c r="E32" s="16">
        <v>3.55</v>
      </c>
      <c r="F32" s="16">
        <v>4.96</v>
      </c>
      <c r="G32" s="16">
        <v>3.77</v>
      </c>
      <c r="H32" s="16">
        <v>4.96</v>
      </c>
      <c r="I32" s="16">
        <v>1.89</v>
      </c>
      <c r="J32" s="17">
        <f>IF(COUNT(F32,G32,H32)=3,F32+H32-G32,"n/d")</f>
        <v>6.15</v>
      </c>
      <c r="K32" s="1" t="s">
        <v>295</v>
      </c>
    </row>
    <row r="33" spans="1:11">
      <c r="A33" s="1" t="s">
        <v>296</v>
      </c>
      <c r="B33" s="18">
        <v>1508.5</v>
      </c>
      <c r="C33" s="18">
        <v>1485.9</v>
      </c>
      <c r="D33" s="18">
        <v>1435.4</v>
      </c>
      <c r="E33" s="18">
        <v>1343.6</v>
      </c>
      <c r="F33" s="18">
        <v>1356.4</v>
      </c>
      <c r="G33" s="18">
        <v>1354.7</v>
      </c>
      <c r="H33" s="18">
        <v>1365.8</v>
      </c>
      <c r="I33" s="18">
        <v>1368.1</v>
      </c>
      <c r="J33" s="19">
        <f>I33</f>
        <v>1368.1</v>
      </c>
      <c r="K33" s="1" t="s">
        <v>297</v>
      </c>
    </row>
    <row r="34" spans="1:11">
      <c r="A34" s="1" t="s">
        <v>298</v>
      </c>
      <c r="B34" s="18">
        <v>1501.6</v>
      </c>
      <c r="C34" s="18">
        <v>1475.5</v>
      </c>
      <c r="D34" s="18">
        <v>1426</v>
      </c>
      <c r="E34" s="18">
        <v>1332.1</v>
      </c>
      <c r="F34" s="18">
        <v>1341.4</v>
      </c>
      <c r="G34" s="18">
        <v>1340.2</v>
      </c>
      <c r="H34" s="18">
        <v>1350.2</v>
      </c>
      <c r="I34" s="18">
        <v>1352.2</v>
      </c>
      <c r="J34" s="19">
        <f>I34</f>
        <v>1352.2</v>
      </c>
      <c r="K34" s="1" t="s">
        <v>299</v>
      </c>
    </row>
    <row r="35" spans="1:11">
      <c r="A35" s="1" t="s">
        <v>300</v>
      </c>
      <c r="B35" s="6">
        <f>B147</f>
        <v>4557</v>
      </c>
      <c r="C35" s="6">
        <f>C147</f>
        <v>4108</v>
      </c>
      <c r="D35" s="6">
        <f>D147</f>
        <v>4211</v>
      </c>
      <c r="E35" s="6">
        <f>E147</f>
        <v>4364</v>
      </c>
      <c r="F35" s="6">
        <f>F147</f>
        <v>4378</v>
      </c>
      <c r="G35" s="6">
        <f>G147</f>
        <v>3219</v>
      </c>
      <c r="H35" s="6">
        <f>H147</f>
        <v>3218</v>
      </c>
      <c r="I35" s="6">
        <f>I147</f>
        <v>1068</v>
      </c>
      <c r="J35" s="6">
        <f>J147</f>
        <v>4377</v>
      </c>
      <c r="K35" s="1" t="s">
        <v>301</v>
      </c>
    </row>
    <row r="36" spans="1:11">
      <c r="A36" s="7" t="s">
        <v>302</v>
      </c>
      <c r="B36" s="14">
        <f>B19+B35</f>
        <v>9693</v>
      </c>
      <c r="C36" s="14">
        <f>C19+C35</f>
        <v>9612</v>
      </c>
      <c r="D36" s="14">
        <f>D19+D35</f>
        <v>7772</v>
      </c>
      <c r="E36" s="14">
        <f>E19+E35</f>
        <v>10902</v>
      </c>
      <c r="F36" s="14">
        <f>F19+F35</f>
        <v>13678</v>
      </c>
      <c r="G36" s="14">
        <f>G19+G35</f>
        <v>9923</v>
      </c>
      <c r="H36" s="14">
        <f>H19+H35</f>
        <v>11921</v>
      </c>
      <c r="I36" s="14">
        <f>I19+I35</f>
        <v>4405</v>
      </c>
      <c r="J36" s="14">
        <f>J19+J35</f>
        <v>15676</v>
      </c>
      <c r="K36" s="7" t="s">
        <v>265</v>
      </c>
    </row>
    <row r="37" spans="1:11">
      <c r="A37" s="1" t="s">
        <v>303</v>
      </c>
      <c r="B37" s="15">
        <f>B36/B9</f>
        <v>0.15054047338013293</v>
      </c>
      <c r="C37" s="15">
        <f>C36/C9</f>
        <v>0.14330441005456659</v>
      </c>
      <c r="D37" s="15">
        <f>D36/D9</f>
        <v>0.11276842716192687</v>
      </c>
      <c r="E37" s="15">
        <f>E36/E9</f>
        <v>0.13502935420743639</v>
      </c>
      <c r="F37" s="15">
        <f>F36/F9</f>
        <v>0.15437400539485119</v>
      </c>
      <c r="G37" s="15">
        <f>G36/G9</f>
        <v>0.15416763769129185</v>
      </c>
      <c r="H37" s="15">
        <f>H36/H9</f>
        <v>0.16614865712414109</v>
      </c>
      <c r="I37" s="15">
        <f>I36/I9</f>
        <v>0.17644702583617064</v>
      </c>
      <c r="J37" s="15">
        <f>J36/J9</f>
        <v>0.16331378207465594</v>
      </c>
      <c r="K37" s="1" t="s">
        <v>265</v>
      </c>
    </row>
    <row r="39" spans="1:11">
      <c r="A39" s="2" t="s">
        <v>304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7" t="s">
        <v>305</v>
      </c>
    </row>
    <row r="41" spans="1:11">
      <c r="A41" s="1" t="s">
        <v>306</v>
      </c>
      <c r="B41" s="3">
        <v>21152</v>
      </c>
      <c r="C41" s="3">
        <v>23052</v>
      </c>
      <c r="D41" s="3">
        <v>26253</v>
      </c>
      <c r="E41" s="3">
        <v>28284</v>
      </c>
      <c r="F41" s="3">
        <v>30196</v>
      </c>
      <c r="G41" s="3">
        <v>22460</v>
      </c>
      <c r="H41" s="3">
        <v>24194</v>
      </c>
      <c r="I41" s="3">
        <v>8382</v>
      </c>
      <c r="J41" s="6">
        <f>IF(COUNT(F41,G41,H41)=3,F41+H41-G41,"n/d")</f>
        <v>31930</v>
      </c>
      <c r="K41" s="1" t="s">
        <v>307</v>
      </c>
    </row>
    <row r="42" spans="1:11">
      <c r="A42" s="1" t="s">
        <v>308</v>
      </c>
      <c r="B42" s="3">
        <v>18150</v>
      </c>
      <c r="C42" s="3">
        <v>20530</v>
      </c>
      <c r="D42" s="3">
        <v>18296</v>
      </c>
      <c r="E42" s="3">
        <v>28066</v>
      </c>
      <c r="F42" s="3">
        <v>32916</v>
      </c>
      <c r="G42" s="3">
        <v>23420</v>
      </c>
      <c r="H42" s="3">
        <v>26293</v>
      </c>
      <c r="I42" s="3">
        <v>9231</v>
      </c>
      <c r="J42" s="6">
        <f>IF(COUNT(F42,G42,H42)=3,F42+H42-G42,"n/d")</f>
        <v>35789</v>
      </c>
      <c r="K42" s="1" t="s">
        <v>309</v>
      </c>
    </row>
    <row r="43" spans="1:11">
      <c r="A43" s="1" t="s">
        <v>310</v>
      </c>
      <c r="B43" s="3">
        <v>26611</v>
      </c>
      <c r="C43" s="3">
        <v>25176</v>
      </c>
      <c r="D43" s="3">
        <v>26350</v>
      </c>
      <c r="E43" s="3">
        <v>26713</v>
      </c>
      <c r="F43" s="3">
        <v>28043</v>
      </c>
      <c r="G43" s="3">
        <v>20386</v>
      </c>
      <c r="H43" s="3">
        <v>23245</v>
      </c>
      <c r="I43" s="3">
        <v>8031</v>
      </c>
      <c r="J43" s="6">
        <f>IF(COUNT(F43,G43,H43)=3,F43+H43-G43,"n/d")</f>
        <v>30902</v>
      </c>
      <c r="K43" s="1" t="s">
        <v>311</v>
      </c>
    </row>
    <row r="44" spans="1:11">
      <c r="A44" s="1" t="s">
        <v>312</v>
      </c>
      <c r="B44" s="12">
        <f>B41+B42+B43</f>
        <v>65913</v>
      </c>
      <c r="C44" s="12">
        <f>C41+C42+C43</f>
        <v>68758</v>
      </c>
      <c r="D44" s="12">
        <f>D41+D42+D43</f>
        <v>70899</v>
      </c>
      <c r="E44" s="12">
        <f>E41+E42+E43</f>
        <v>83063</v>
      </c>
      <c r="F44" s="12">
        <f>F41+F42+F43</f>
        <v>91155</v>
      </c>
      <c r="G44" s="12">
        <f>G41+G42+G43</f>
        <v>66266</v>
      </c>
      <c r="H44" s="12">
        <f>H41+H42+H43</f>
        <v>73732</v>
      </c>
      <c r="I44" s="12">
        <f>I41+I42+I43</f>
        <v>25644</v>
      </c>
      <c r="J44" s="12">
        <f>J41+J42+J43</f>
        <v>98621</v>
      </c>
      <c r="K44" s="1" t="s">
        <v>265</v>
      </c>
    </row>
    <row r="45" spans="1:11">
      <c r="A45" s="1" t="s">
        <v>313</v>
      </c>
      <c r="B45" s="3">
        <v>-1525</v>
      </c>
      <c r="C45" s="3">
        <v>-1684</v>
      </c>
      <c r="D45" s="3">
        <v>-1979</v>
      </c>
      <c r="E45" s="3">
        <v>-2325</v>
      </c>
      <c r="F45" s="3">
        <v>-2552</v>
      </c>
      <c r="G45" s="3">
        <v>-1901</v>
      </c>
      <c r="H45" s="3">
        <v>-1983</v>
      </c>
      <c r="I45" s="3">
        <v>-679</v>
      </c>
      <c r="J45" s="6">
        <f>IF(COUNT(F45,G45,H45)=3,F45+H45-G45,"n/d")</f>
        <v>-2634</v>
      </c>
      <c r="K45" s="1" t="s">
        <v>314</v>
      </c>
    </row>
    <row r="46" spans="1:11">
      <c r="A46" s="7" t="s">
        <v>315</v>
      </c>
      <c r="B46" s="14">
        <f>B44+B45</f>
        <v>64388</v>
      </c>
      <c r="C46" s="14">
        <f>C44+C45</f>
        <v>67074</v>
      </c>
      <c r="D46" s="14">
        <f>D44+D45</f>
        <v>68920</v>
      </c>
      <c r="E46" s="14">
        <f>E44+E45</f>
        <v>80738</v>
      </c>
      <c r="F46" s="14">
        <f>F44+F45</f>
        <v>88603</v>
      </c>
      <c r="G46" s="14">
        <f>G44+G45</f>
        <v>64365</v>
      </c>
      <c r="H46" s="14">
        <f>H44+H45</f>
        <v>71749</v>
      </c>
      <c r="I46" s="14">
        <f>I44+I45</f>
        <v>24965</v>
      </c>
      <c r="J46" s="14">
        <f>J44+J45</f>
        <v>95987</v>
      </c>
      <c r="K46" s="7" t="s">
        <v>316</v>
      </c>
    </row>
    <row r="47" spans="1:11">
      <c r="A47" s="7" t="s">
        <v>317</v>
      </c>
    </row>
    <row r="48" spans="1:11">
      <c r="A48" s="1" t="s">
        <v>306</v>
      </c>
      <c r="B48" s="3">
        <v>2380</v>
      </c>
      <c r="C48" s="3">
        <v>2816</v>
      </c>
      <c r="D48" s="3">
        <v>3825</v>
      </c>
      <c r="E48" s="3">
        <v>4135</v>
      </c>
      <c r="F48" s="3">
        <v>4923</v>
      </c>
      <c r="G48" s="3">
        <v>3521</v>
      </c>
      <c r="H48" s="3">
        <v>4402</v>
      </c>
      <c r="I48" s="3">
        <v>1789</v>
      </c>
      <c r="J48" s="6">
        <f>IF(COUNT(F48,G48,H48)=3,F48+H48-G48,"n/d")</f>
        <v>5804</v>
      </c>
      <c r="K48" s="1" t="s">
        <v>318</v>
      </c>
    </row>
    <row r="49" spans="1:11">
      <c r="A49" s="1" t="s">
        <v>308</v>
      </c>
      <c r="B49" s="3">
        <v>454</v>
      </c>
      <c r="C49" s="3">
        <v>1075</v>
      </c>
      <c r="D49" s="3">
        <v>-1455</v>
      </c>
      <c r="E49" s="3">
        <v>2015</v>
      </c>
      <c r="F49" s="3">
        <v>2596</v>
      </c>
      <c r="G49" s="3">
        <v>1823</v>
      </c>
      <c r="H49" s="3">
        <v>2056</v>
      </c>
      <c r="I49" s="3">
        <v>608</v>
      </c>
      <c r="J49" s="6">
        <f>IF(COUNT(F49,G49,H49)=3,F49+H49-G49,"n/d")</f>
        <v>2829</v>
      </c>
      <c r="K49" s="1" t="s">
        <v>319</v>
      </c>
    </row>
    <row r="50" spans="1:11">
      <c r="A50" s="1" t="s">
        <v>310</v>
      </c>
      <c r="B50" s="3">
        <v>3399</v>
      </c>
      <c r="C50" s="3">
        <v>2448</v>
      </c>
      <c r="D50" s="3">
        <v>2379</v>
      </c>
      <c r="E50" s="3">
        <v>2594</v>
      </c>
      <c r="F50" s="3">
        <v>3227</v>
      </c>
      <c r="G50" s="3">
        <v>2342</v>
      </c>
      <c r="H50" s="3">
        <v>3016</v>
      </c>
      <c r="I50" s="3">
        <v>1133</v>
      </c>
      <c r="J50" s="6">
        <f>IF(COUNT(F50,G50,H50)=3,F50+H50-G50,"n/d")</f>
        <v>3901</v>
      </c>
      <c r="K50" s="1" t="s">
        <v>320</v>
      </c>
    </row>
    <row r="51" spans="1:11">
      <c r="A51" s="1" t="s">
        <v>321</v>
      </c>
      <c r="B51" s="12">
        <f>B48+B49+B50</f>
        <v>6233</v>
      </c>
      <c r="C51" s="12">
        <f>C48+C49+C50</f>
        <v>6339</v>
      </c>
      <c r="D51" s="12">
        <f>D48+D49+D50</f>
        <v>4749</v>
      </c>
      <c r="E51" s="12">
        <f>E48+E49+E50</f>
        <v>8744</v>
      </c>
      <c r="F51" s="12">
        <f>F48+F49+F50</f>
        <v>10746</v>
      </c>
      <c r="G51" s="12">
        <f>G48+G49+G50</f>
        <v>7686</v>
      </c>
      <c r="H51" s="12">
        <f>H48+H49+H50</f>
        <v>9474</v>
      </c>
      <c r="I51" s="12">
        <f>I48+I49+I50</f>
        <v>3530</v>
      </c>
      <c r="J51" s="12">
        <f>J48+J49+J50</f>
        <v>12534</v>
      </c>
      <c r="K51" s="1" t="s">
        <v>265</v>
      </c>
    </row>
    <row r="52" spans="1:11">
      <c r="A52" s="1" t="s">
        <v>313</v>
      </c>
      <c r="B52" s="3">
        <v>4</v>
      </c>
      <c r="C52" s="3">
        <v>-23</v>
      </c>
      <c r="D52" s="3">
        <v>-42</v>
      </c>
      <c r="E52" s="3">
        <v>-48</v>
      </c>
      <c r="F52" s="3">
        <v>54</v>
      </c>
      <c r="G52" s="3">
        <v>22</v>
      </c>
      <c r="H52" s="3">
        <v>246</v>
      </c>
      <c r="I52" s="3">
        <v>110</v>
      </c>
      <c r="J52" s="6">
        <f>IF(COUNT(F52,G52,H52)=3,F52+H52-G52,"n/d")</f>
        <v>278</v>
      </c>
      <c r="K52" s="1" t="s">
        <v>314</v>
      </c>
    </row>
    <row r="53" spans="1:11">
      <c r="A53" s="1" t="s">
        <v>322</v>
      </c>
      <c r="B53" s="3">
        <v>-552</v>
      </c>
      <c r="C53" s="3">
        <v>-318</v>
      </c>
      <c r="D53" s="3">
        <v>-275</v>
      </c>
      <c r="E53" s="3">
        <v>-933</v>
      </c>
      <c r="F53" s="3">
        <v>-248</v>
      </c>
      <c r="G53" s="3">
        <v>-110</v>
      </c>
      <c r="H53" s="3">
        <v>-138</v>
      </c>
      <c r="I53" s="3">
        <v>-26</v>
      </c>
      <c r="J53" s="6">
        <f>IF(COUNT(F53,G53,H53)=3,F53+H53-G53,"n/d")</f>
        <v>-276</v>
      </c>
      <c r="K53" s="1" t="s">
        <v>323</v>
      </c>
    </row>
    <row r="54" spans="1:11">
      <c r="A54" s="1" t="s">
        <v>324</v>
      </c>
      <c r="B54" s="3">
        <v>1654</v>
      </c>
      <c r="C54" s="3">
        <v>1399</v>
      </c>
      <c r="D54" s="3">
        <v>1127</v>
      </c>
      <c r="E54" s="3">
        <v>833</v>
      </c>
      <c r="F54" s="3">
        <v>753</v>
      </c>
      <c r="G54" s="3">
        <v>570</v>
      </c>
      <c r="H54" s="3">
        <v>514</v>
      </c>
      <c r="I54" s="3">
        <v>171</v>
      </c>
      <c r="J54" s="6">
        <f>IF(COUNT(F54,G54,H54)=3,F54+H54-G54,"n/d")</f>
        <v>697</v>
      </c>
      <c r="K54" s="1" t="s">
        <v>325</v>
      </c>
    </row>
    <row r="55" spans="1:11">
      <c r="A55" s="1" t="s">
        <v>326</v>
      </c>
      <c r="B55" s="3">
        <v>-2203</v>
      </c>
      <c r="C55" s="3">
        <v>-1893</v>
      </c>
      <c r="D55" s="3">
        <v>-1998</v>
      </c>
      <c r="E55" s="3">
        <v>-2058</v>
      </c>
      <c r="F55" s="3">
        <v>-2005</v>
      </c>
      <c r="G55" s="3">
        <v>-1464</v>
      </c>
      <c r="H55" s="3">
        <v>-1393</v>
      </c>
      <c r="I55" s="3">
        <v>-448</v>
      </c>
      <c r="J55" s="6">
        <f>IF(COUNT(F55,G55,H55)=3,F55+H55-G55,"n/d")</f>
        <v>-1934</v>
      </c>
      <c r="K55" s="1" t="s">
        <v>327</v>
      </c>
    </row>
    <row r="56" spans="1:11">
      <c r="A56" s="7" t="s">
        <v>328</v>
      </c>
      <c r="B56" s="9">
        <f>B51+B52+B53+B54+B55</f>
        <v>5136</v>
      </c>
      <c r="C56" s="9">
        <f>C51+C52+C53+C54+C55</f>
        <v>5504</v>
      </c>
      <c r="D56" s="9">
        <f>D51+D52+D53+D54+D55</f>
        <v>3561</v>
      </c>
      <c r="E56" s="9">
        <f>E51+E52+E53+E54+E55</f>
        <v>6538</v>
      </c>
      <c r="F56" s="9">
        <f>F51+F52+F53+F54+F55</f>
        <v>9300</v>
      </c>
      <c r="G56" s="9">
        <f>G51+G52+G53+G54+G55</f>
        <v>6704</v>
      </c>
      <c r="H56" s="9">
        <f>H51+H52+H53+H54+H55</f>
        <v>8703</v>
      </c>
      <c r="I56" s="9">
        <f>I51+I52+I53+I54+I55</f>
        <v>3337</v>
      </c>
      <c r="J56" s="9">
        <f>J51+J52+J53+J54+J55</f>
        <v>11299</v>
      </c>
      <c r="K56" s="7" t="s">
        <v>329</v>
      </c>
    </row>
    <row r="57" spans="1:11">
      <c r="A57" s="7" t="s">
        <v>330</v>
      </c>
    </row>
    <row r="58" spans="1:11">
      <c r="A58" s="1" t="s">
        <v>306</v>
      </c>
      <c r="B58" s="15">
        <f>B48/B41</f>
        <v>0.11251891074130106</v>
      </c>
      <c r="C58" s="15">
        <f>C48/C41</f>
        <v>0.12215859795245532</v>
      </c>
      <c r="D58" s="15">
        <f>D48/D41</f>
        <v>0.14569763455605073</v>
      </c>
      <c r="E58" s="15">
        <f>E48/E41</f>
        <v>0.14619572903408287</v>
      </c>
      <c r="F58" s="15">
        <f>F48/F41</f>
        <v>0.16303483905153002</v>
      </c>
      <c r="G58" s="15">
        <f>G48/G41</f>
        <v>0.15676758682101513</v>
      </c>
      <c r="H58" s="15">
        <f>H48/H41</f>
        <v>0.18194593700917583</v>
      </c>
      <c r="I58" s="15">
        <f>I48/I41</f>
        <v>0.21343354807921738</v>
      </c>
      <c r="J58" s="15">
        <f>J48/J41</f>
        <v>0.18177262762292515</v>
      </c>
      <c r="K58" s="1" t="s">
        <v>265</v>
      </c>
    </row>
    <row r="59" spans="1:11">
      <c r="A59" s="1" t="s">
        <v>308</v>
      </c>
      <c r="B59" s="15">
        <f>B49/B42</f>
        <v>2.5013774104683195E-2</v>
      </c>
      <c r="C59" s="15">
        <f>C49/C42</f>
        <v>5.2362396492937162E-2</v>
      </c>
      <c r="D59" s="15">
        <f>D49/D42</f>
        <v>-7.9525579361609089E-2</v>
      </c>
      <c r="E59" s="15">
        <f>E49/E42</f>
        <v>7.1795054514359011E-2</v>
      </c>
      <c r="F59" s="15">
        <f>F49/F42</f>
        <v>7.8867420099647589E-2</v>
      </c>
      <c r="G59" s="15">
        <f>G49/G42</f>
        <v>7.7839453458582411E-2</v>
      </c>
      <c r="H59" s="15">
        <f>H49/H42</f>
        <v>7.8195717491347502E-2</v>
      </c>
      <c r="I59" s="15">
        <f>I49/I42</f>
        <v>6.5865020041165637E-2</v>
      </c>
      <c r="J59" s="15">
        <f>J49/J42</f>
        <v>7.9046634440749955E-2</v>
      </c>
      <c r="K59" s="1" t="s">
        <v>265</v>
      </c>
    </row>
    <row r="60" spans="1:11">
      <c r="A60" s="1" t="s">
        <v>331</v>
      </c>
      <c r="B60" s="15">
        <f>(B49-B21)/(B42-B10)</f>
        <v>2.5013774104683195E-2</v>
      </c>
      <c r="C60" s="15">
        <f>(C49-C21)/(C42-C10)</f>
        <v>5.2362396492937162E-2</v>
      </c>
      <c r="D60" s="15">
        <f>(D49-D21)/(D42-D10)</f>
        <v>6.0978182892349242E-2</v>
      </c>
      <c r="E60" s="15">
        <f>(E49-E21)/(E42-E10)</f>
        <v>7.1795054514359011E-2</v>
      </c>
      <c r="F60" s="15">
        <f>(F49-F21)/(F42-F10)</f>
        <v>7.8867420099647589E-2</v>
      </c>
      <c r="G60" s="15">
        <f>(G49-G21)/(G42-G10)</f>
        <v>7.7839453458582411E-2</v>
      </c>
      <c r="H60" s="15">
        <f>(H49-H21)/(H42-H10)</f>
        <v>7.8195717491347502E-2</v>
      </c>
      <c r="I60" s="15">
        <f>(I49-I21)/(I42-I10)</f>
        <v>6.5865020041165637E-2</v>
      </c>
      <c r="J60" s="15">
        <f>(J49-J21)/(J42-J10)</f>
        <v>7.9046634440749955E-2</v>
      </c>
      <c r="K60" s="1" t="s">
        <v>332</v>
      </c>
    </row>
    <row r="61" spans="1:11">
      <c r="A61" s="1" t="s">
        <v>310</v>
      </c>
      <c r="B61" s="15">
        <f>B50/B43</f>
        <v>0.12772913456841156</v>
      </c>
      <c r="C61" s="15">
        <f>C50/C43</f>
        <v>9.7235462345090562E-2</v>
      </c>
      <c r="D61" s="15">
        <f>D50/D43</f>
        <v>9.0284629981024669E-2</v>
      </c>
      <c r="E61" s="15">
        <f>E50/E43</f>
        <v>9.7106277842249095E-2</v>
      </c>
      <c r="F61" s="15">
        <f>F50/F43</f>
        <v>0.11507328031950932</v>
      </c>
      <c r="G61" s="15">
        <f>G50/G43</f>
        <v>0.11488276268027077</v>
      </c>
      <c r="H61" s="15">
        <f>H50/H43</f>
        <v>0.12974833297483329</v>
      </c>
      <c r="I61" s="15">
        <f>I50/I43</f>
        <v>0.14107832150417132</v>
      </c>
      <c r="J61" s="15">
        <f>J50/J43</f>
        <v>0.12623778396220309</v>
      </c>
      <c r="K61" s="1" t="s">
        <v>265</v>
      </c>
    </row>
    <row r="62" spans="1:11">
      <c r="A62" s="1" t="s">
        <v>333</v>
      </c>
      <c r="B62" s="15">
        <f>B51/B44</f>
        <v>9.4564046546204844E-2</v>
      </c>
      <c r="C62" s="15">
        <f>C51/C44</f>
        <v>9.2192908461560835E-2</v>
      </c>
      <c r="D62" s="15">
        <f>D51/D44</f>
        <v>6.6982609063597515E-2</v>
      </c>
      <c r="E62" s="15">
        <f>E51/E44</f>
        <v>0.10526949423931233</v>
      </c>
      <c r="F62" s="15">
        <f>F51/F44</f>
        <v>0.11788711535297021</v>
      </c>
      <c r="G62" s="15">
        <f>G51/G44</f>
        <v>0.11598708236501373</v>
      </c>
      <c r="H62" s="15">
        <f>H51/H44</f>
        <v>0.12849237780068357</v>
      </c>
      <c r="I62" s="15">
        <f>I51/I44</f>
        <v>0.13765403213227265</v>
      </c>
      <c r="J62" s="15">
        <f>J51/J44</f>
        <v>0.12709260705123654</v>
      </c>
      <c r="K62" s="1" t="s">
        <v>265</v>
      </c>
    </row>
    <row r="63" spans="1:11">
      <c r="A63" s="7" t="s">
        <v>334</v>
      </c>
    </row>
    <row r="64" spans="1:11">
      <c r="A64" s="1" t="s">
        <v>335</v>
      </c>
      <c r="B64" s="3">
        <v>741</v>
      </c>
      <c r="C64" s="3">
        <v>756</v>
      </c>
      <c r="D64" s="3">
        <v>724</v>
      </c>
      <c r="E64" s="3">
        <v>841</v>
      </c>
      <c r="F64" s="3">
        <v>873</v>
      </c>
      <c r="G64" s="4" t="s">
        <v>248</v>
      </c>
      <c r="H64" s="4" t="s">
        <v>248</v>
      </c>
      <c r="I64" s="4" t="s">
        <v>248</v>
      </c>
      <c r="J64" s="4" t="s">
        <v>248</v>
      </c>
      <c r="K64" s="1" t="s">
        <v>336</v>
      </c>
    </row>
    <row r="65" spans="1:11">
      <c r="A65" s="1" t="s">
        <v>337</v>
      </c>
      <c r="B65" s="3">
        <v>642</v>
      </c>
      <c r="C65" s="3">
        <v>724</v>
      </c>
      <c r="D65" s="3">
        <v>736</v>
      </c>
      <c r="E65" s="3">
        <v>784</v>
      </c>
      <c r="F65" s="3">
        <v>786</v>
      </c>
      <c r="G65" s="4" t="s">
        <v>248</v>
      </c>
      <c r="H65" s="4" t="s">
        <v>248</v>
      </c>
      <c r="I65" s="4" t="s">
        <v>248</v>
      </c>
      <c r="J65" s="4" t="s">
        <v>248</v>
      </c>
      <c r="K65" s="1" t="s">
        <v>338</v>
      </c>
    </row>
    <row r="66" spans="1:11">
      <c r="A66" s="1" t="s">
        <v>339</v>
      </c>
      <c r="B66" s="3">
        <v>504</v>
      </c>
      <c r="C66" s="3">
        <v>526</v>
      </c>
      <c r="D66" s="3">
        <v>544</v>
      </c>
      <c r="E66" s="3">
        <v>520</v>
      </c>
      <c r="F66" s="3">
        <v>542</v>
      </c>
      <c r="G66" s="4" t="s">
        <v>248</v>
      </c>
      <c r="H66" s="4" t="s">
        <v>248</v>
      </c>
      <c r="I66" s="4" t="s">
        <v>248</v>
      </c>
      <c r="J66" s="4" t="s">
        <v>248</v>
      </c>
      <c r="K66" s="1" t="s">
        <v>338</v>
      </c>
    </row>
    <row r="67" spans="1:11">
      <c r="A67" s="1" t="s">
        <v>340</v>
      </c>
      <c r="B67" s="3">
        <v>155</v>
      </c>
      <c r="C67" s="3">
        <v>101</v>
      </c>
      <c r="D67" s="3">
        <v>126</v>
      </c>
      <c r="E67" s="3">
        <v>80</v>
      </c>
      <c r="F67" s="3">
        <v>94</v>
      </c>
      <c r="G67" s="4" t="s">
        <v>248</v>
      </c>
      <c r="H67" s="4" t="s">
        <v>248</v>
      </c>
      <c r="I67" s="4" t="s">
        <v>248</v>
      </c>
      <c r="J67" s="4" t="s">
        <v>248</v>
      </c>
      <c r="K67" s="1" t="s">
        <v>338</v>
      </c>
    </row>
    <row r="68" spans="1:11">
      <c r="A68" s="1" t="s">
        <v>341</v>
      </c>
      <c r="B68" s="3">
        <v>2515</v>
      </c>
      <c r="C68" s="3">
        <v>2001</v>
      </c>
      <c r="D68" s="3">
        <v>2081</v>
      </c>
      <c r="E68" s="3">
        <v>2139</v>
      </c>
      <c r="F68" s="3">
        <v>2083</v>
      </c>
      <c r="G68" s="4" t="s">
        <v>248</v>
      </c>
      <c r="H68" s="4" t="s">
        <v>248</v>
      </c>
      <c r="I68" s="4" t="s">
        <v>248</v>
      </c>
      <c r="J68" s="4" t="s">
        <v>248</v>
      </c>
      <c r="K68" s="1" t="s">
        <v>338</v>
      </c>
    </row>
    <row r="69" spans="1:11">
      <c r="A69" s="1" t="s">
        <v>342</v>
      </c>
      <c r="B69" s="3">
        <v>697</v>
      </c>
      <c r="C69" s="3">
        <v>671</v>
      </c>
      <c r="D69" s="3">
        <v>628</v>
      </c>
      <c r="E69" s="3">
        <v>786</v>
      </c>
      <c r="F69" s="3">
        <v>793</v>
      </c>
      <c r="G69" s="4" t="s">
        <v>248</v>
      </c>
      <c r="H69" s="4" t="s">
        <v>248</v>
      </c>
      <c r="I69" s="4" t="s">
        <v>248</v>
      </c>
      <c r="J69" s="4" t="s">
        <v>248</v>
      </c>
      <c r="K69" s="1" t="s">
        <v>343</v>
      </c>
    </row>
    <row r="70" spans="1:11">
      <c r="A70" s="1" t="s">
        <v>344</v>
      </c>
      <c r="B70" s="3">
        <v>700</v>
      </c>
      <c r="C70" s="3">
        <v>949</v>
      </c>
      <c r="D70" s="3">
        <v>1025</v>
      </c>
      <c r="E70" s="3">
        <v>968</v>
      </c>
      <c r="F70" s="3">
        <v>994</v>
      </c>
      <c r="G70" s="4" t="s">
        <v>248</v>
      </c>
      <c r="H70" s="4" t="s">
        <v>248</v>
      </c>
      <c r="I70" s="4" t="s">
        <v>248</v>
      </c>
      <c r="J70" s="4" t="s">
        <v>248</v>
      </c>
      <c r="K70" s="1" t="s">
        <v>338</v>
      </c>
    </row>
    <row r="71" spans="1:11">
      <c r="A71" s="1" t="s">
        <v>345</v>
      </c>
      <c r="B71" s="3">
        <v>558</v>
      </c>
      <c r="C71" s="3">
        <v>563</v>
      </c>
      <c r="D71" s="3">
        <v>637</v>
      </c>
      <c r="E71" s="3">
        <v>771</v>
      </c>
      <c r="F71" s="3">
        <v>644</v>
      </c>
      <c r="G71" s="4" t="s">
        <v>248</v>
      </c>
      <c r="H71" s="4" t="s">
        <v>248</v>
      </c>
      <c r="I71" s="4" t="s">
        <v>248</v>
      </c>
      <c r="J71" s="4" t="s">
        <v>248</v>
      </c>
      <c r="K71" s="1" t="s">
        <v>338</v>
      </c>
    </row>
    <row r="72" spans="1:11">
      <c r="A72" s="7" t="s">
        <v>346</v>
      </c>
    </row>
    <row r="73" spans="1:11">
      <c r="A73" s="1" t="s">
        <v>347</v>
      </c>
      <c r="B73" s="3">
        <v>7016</v>
      </c>
      <c r="C73" s="3">
        <v>6484</v>
      </c>
      <c r="D73" s="3">
        <v>6357</v>
      </c>
      <c r="E73" s="3">
        <v>6850</v>
      </c>
      <c r="F73" s="3">
        <v>7061</v>
      </c>
      <c r="G73" s="4" t="s">
        <v>248</v>
      </c>
      <c r="H73" s="4" t="s">
        <v>248</v>
      </c>
      <c r="I73" s="4" t="s">
        <v>248</v>
      </c>
      <c r="J73" s="4" t="s">
        <v>248</v>
      </c>
      <c r="K73" s="1" t="s">
        <v>348</v>
      </c>
    </row>
    <row r="74" spans="1:11">
      <c r="A74" s="1" t="s">
        <v>349</v>
      </c>
      <c r="B74" s="3">
        <v>309</v>
      </c>
      <c r="C74" s="3">
        <v>372</v>
      </c>
      <c r="D74" s="3">
        <v>304</v>
      </c>
      <c r="E74" s="3">
        <v>384</v>
      </c>
      <c r="F74" s="3">
        <v>436</v>
      </c>
      <c r="G74" s="4" t="s">
        <v>248</v>
      </c>
      <c r="H74" s="4" t="s">
        <v>248</v>
      </c>
      <c r="I74" s="4" t="s">
        <v>248</v>
      </c>
      <c r="J74" s="4" t="s">
        <v>248</v>
      </c>
      <c r="K74" s="1" t="s">
        <v>350</v>
      </c>
    </row>
    <row r="75" spans="1:11">
      <c r="A75" s="1" t="s">
        <v>351</v>
      </c>
      <c r="B75" s="3">
        <v>1223</v>
      </c>
      <c r="C75" s="3">
        <v>1063</v>
      </c>
      <c r="D75" s="3">
        <v>1110</v>
      </c>
      <c r="E75" s="3">
        <v>1242</v>
      </c>
      <c r="F75" s="3">
        <v>1230</v>
      </c>
      <c r="G75" s="4" t="s">
        <v>248</v>
      </c>
      <c r="H75" s="4" t="s">
        <v>248</v>
      </c>
      <c r="I75" s="4" t="s">
        <v>248</v>
      </c>
      <c r="J75" s="4" t="s">
        <v>248</v>
      </c>
      <c r="K75" s="1" t="s">
        <v>352</v>
      </c>
    </row>
    <row r="76" spans="1:11">
      <c r="A76" s="7" t="s">
        <v>353</v>
      </c>
      <c r="B76" s="14">
        <f>B73+B74+B75</f>
        <v>8548</v>
      </c>
      <c r="C76" s="14">
        <f>C73+C74+C75</f>
        <v>7919</v>
      </c>
      <c r="D76" s="14">
        <f>D73+D74+D75</f>
        <v>7771</v>
      </c>
      <c r="E76" s="14">
        <f>E73+E74+E75</f>
        <v>8476</v>
      </c>
      <c r="F76" s="14">
        <f>F73+F74+F75</f>
        <v>8727</v>
      </c>
      <c r="G76" s="20" t="s">
        <v>248</v>
      </c>
      <c r="H76" s="20" t="s">
        <v>248</v>
      </c>
      <c r="I76" s="20" t="s">
        <v>248</v>
      </c>
      <c r="J76" s="20" t="s">
        <v>248</v>
      </c>
      <c r="K76" s="7" t="s">
        <v>354</v>
      </c>
    </row>
    <row r="77" spans="1:11">
      <c r="A77" s="1" t="s">
        <v>355</v>
      </c>
      <c r="B77" s="3">
        <v>11065</v>
      </c>
      <c r="C77" s="3">
        <v>13411</v>
      </c>
      <c r="D77" s="3">
        <v>16523</v>
      </c>
      <c r="E77" s="3">
        <v>17453</v>
      </c>
      <c r="F77" s="3">
        <v>18858</v>
      </c>
      <c r="G77" s="4" t="s">
        <v>248</v>
      </c>
      <c r="H77" s="4" t="s">
        <v>248</v>
      </c>
      <c r="I77" s="4" t="s">
        <v>248</v>
      </c>
      <c r="J77" s="4" t="s">
        <v>248</v>
      </c>
      <c r="K77" s="1" t="s">
        <v>356</v>
      </c>
    </row>
    <row r="78" spans="1:11">
      <c r="A78" s="1" t="s">
        <v>357</v>
      </c>
      <c r="B78" s="3">
        <v>1539</v>
      </c>
      <c r="C78" s="3">
        <v>1722</v>
      </c>
      <c r="D78" s="3">
        <v>1959</v>
      </c>
      <c r="E78" s="3">
        <v>2355</v>
      </c>
      <c r="F78" s="3">
        <v>2611</v>
      </c>
      <c r="G78" s="4" t="s">
        <v>248</v>
      </c>
      <c r="H78" s="4" t="s">
        <v>248</v>
      </c>
      <c r="I78" s="4" t="s">
        <v>248</v>
      </c>
      <c r="J78" s="4" t="s">
        <v>248</v>
      </c>
      <c r="K78" s="1" t="s">
        <v>358</v>
      </c>
    </row>
    <row r="79" spans="1:11">
      <c r="A79" s="1" t="s">
        <v>359</v>
      </c>
      <c r="B79" s="15">
        <f>B77/(B77+B76)</f>
        <v>0.56416662417784125</v>
      </c>
      <c r="C79" s="15">
        <f>C77/(C77+C76)</f>
        <v>0.62873886544772617</v>
      </c>
      <c r="D79" s="15">
        <f>D77/(D77+D76)</f>
        <v>0.68012678027496498</v>
      </c>
      <c r="E79" s="15">
        <f>E77/(E77+E76)</f>
        <v>0.67310733155925795</v>
      </c>
      <c r="F79" s="15">
        <f>F77/(F77+F76)</f>
        <v>0.68363240891789012</v>
      </c>
      <c r="G79" s="21" t="s">
        <v>248</v>
      </c>
      <c r="H79" s="21" t="s">
        <v>248</v>
      </c>
      <c r="I79" s="21" t="s">
        <v>248</v>
      </c>
      <c r="J79" s="21" t="s">
        <v>248</v>
      </c>
      <c r="K79" s="1" t="s">
        <v>265</v>
      </c>
    </row>
    <row r="80" spans="1:11">
      <c r="A80" s="1" t="s">
        <v>360</v>
      </c>
      <c r="B80" s="3">
        <v>5140</v>
      </c>
      <c r="C80" s="3">
        <v>5272</v>
      </c>
      <c r="D80" s="3">
        <v>5206</v>
      </c>
      <c r="E80" s="3">
        <v>6086</v>
      </c>
      <c r="F80" s="3">
        <v>6778</v>
      </c>
      <c r="G80" s="4" t="s">
        <v>248</v>
      </c>
      <c r="H80" s="4" t="s">
        <v>248</v>
      </c>
      <c r="I80" s="4" t="s">
        <v>248</v>
      </c>
      <c r="J80" s="4" t="s">
        <v>248</v>
      </c>
      <c r="K80" s="1" t="s">
        <v>361</v>
      </c>
    </row>
    <row r="81" spans="1:11">
      <c r="A81" s="1" t="s">
        <v>362</v>
      </c>
      <c r="B81" s="3">
        <v>1273</v>
      </c>
      <c r="C81" s="3">
        <v>1115</v>
      </c>
      <c r="D81" s="3">
        <v>1442</v>
      </c>
      <c r="E81" s="3">
        <v>1528</v>
      </c>
      <c r="F81" s="3">
        <v>1786</v>
      </c>
      <c r="G81" s="4" t="s">
        <v>248</v>
      </c>
      <c r="H81" s="4" t="s">
        <v>248</v>
      </c>
      <c r="I81" s="4" t="s">
        <v>248</v>
      </c>
      <c r="J81" s="4" t="s">
        <v>248</v>
      </c>
      <c r="K81" s="1" t="s">
        <v>363</v>
      </c>
    </row>
    <row r="82" spans="1:11">
      <c r="A82" s="1" t="s">
        <v>364</v>
      </c>
      <c r="B82" s="3">
        <v>541</v>
      </c>
      <c r="C82" s="3">
        <v>474</v>
      </c>
      <c r="D82" s="3">
        <v>515</v>
      </c>
      <c r="E82" s="3">
        <v>712</v>
      </c>
      <c r="F82" s="3">
        <v>792</v>
      </c>
      <c r="G82" s="4" t="s">
        <v>248</v>
      </c>
      <c r="H82" s="4" t="s">
        <v>248</v>
      </c>
      <c r="I82" s="4" t="s">
        <v>248</v>
      </c>
      <c r="J82" s="4" t="s">
        <v>248</v>
      </c>
      <c r="K82" s="1" t="s">
        <v>365</v>
      </c>
    </row>
    <row r="83" spans="1:11">
      <c r="A83" s="7" t="s">
        <v>366</v>
      </c>
      <c r="B83" s="14">
        <f>B80+B81+B82</f>
        <v>6954</v>
      </c>
      <c r="C83" s="14">
        <f>C80+C81+C82</f>
        <v>6861</v>
      </c>
      <c r="D83" s="14">
        <f>D80+D81+D82</f>
        <v>7163</v>
      </c>
      <c r="E83" s="14">
        <f>E80+E81+E82</f>
        <v>8326</v>
      </c>
      <c r="F83" s="14">
        <f>F80+F81+F82</f>
        <v>9356</v>
      </c>
      <c r="G83" s="20" t="s">
        <v>248</v>
      </c>
      <c r="H83" s="20" t="s">
        <v>248</v>
      </c>
      <c r="I83" s="20" t="s">
        <v>248</v>
      </c>
      <c r="J83" s="20" t="s">
        <v>248</v>
      </c>
      <c r="K83" s="7" t="s">
        <v>265</v>
      </c>
    </row>
    <row r="84" spans="1:11">
      <c r="A84" s="1" t="s">
        <v>367</v>
      </c>
      <c r="B84" s="3">
        <v>11196</v>
      </c>
      <c r="C84" s="3">
        <v>13666</v>
      </c>
      <c r="D84" s="3">
        <v>11133</v>
      </c>
      <c r="E84" s="3">
        <v>19738</v>
      </c>
      <c r="F84" s="3">
        <v>23560</v>
      </c>
      <c r="G84" s="4" t="s">
        <v>248</v>
      </c>
      <c r="H84" s="4" t="s">
        <v>248</v>
      </c>
      <c r="I84" s="4" t="s">
        <v>248</v>
      </c>
      <c r="J84" s="4" t="s">
        <v>248</v>
      </c>
      <c r="K84" s="1" t="s">
        <v>368</v>
      </c>
    </row>
    <row r="85" spans="1:11">
      <c r="A85" s="1" t="s">
        <v>369</v>
      </c>
      <c r="B85" s="3">
        <v>0</v>
      </c>
      <c r="C85" s="3">
        <v>3</v>
      </c>
      <c r="D85" s="3">
        <v>0</v>
      </c>
      <c r="E85" s="3">
        <v>2</v>
      </c>
      <c r="F85" s="3">
        <v>0</v>
      </c>
      <c r="G85" s="4" t="s">
        <v>248</v>
      </c>
      <c r="H85" s="4" t="s">
        <v>248</v>
      </c>
      <c r="I85" s="4" t="s">
        <v>248</v>
      </c>
      <c r="J85" s="4" t="s">
        <v>248</v>
      </c>
      <c r="K85" s="1" t="s">
        <v>370</v>
      </c>
    </row>
    <row r="86" spans="1:11">
      <c r="A86" s="1" t="s">
        <v>371</v>
      </c>
      <c r="B86" s="15">
        <f>B84/(B84+B83)</f>
        <v>0.61685950413223145</v>
      </c>
      <c r="C86" s="15">
        <f>C84/(C84+C83)</f>
        <v>0.66575729526964489</v>
      </c>
      <c r="D86" s="15">
        <f>D84/(D84+D83)</f>
        <v>0.60849365981635328</v>
      </c>
      <c r="E86" s="15">
        <f>E84/(E84+E83)</f>
        <v>0.70332098061573545</v>
      </c>
      <c r="F86" s="15">
        <f>F84/(F84+F83)</f>
        <v>0.71576133187507596</v>
      </c>
      <c r="G86" s="21" t="s">
        <v>248</v>
      </c>
      <c r="H86" s="21" t="s">
        <v>248</v>
      </c>
      <c r="I86" s="21" t="s">
        <v>248</v>
      </c>
      <c r="J86" s="21" t="s">
        <v>248</v>
      </c>
      <c r="K86" s="1" t="s">
        <v>265</v>
      </c>
    </row>
    <row r="87" spans="1:11">
      <c r="A87" s="1" t="s">
        <v>372</v>
      </c>
      <c r="B87" s="3">
        <v>18854</v>
      </c>
      <c r="C87" s="3">
        <v>18394</v>
      </c>
      <c r="D87" s="3">
        <v>19965</v>
      </c>
      <c r="E87" s="3">
        <v>19142</v>
      </c>
      <c r="F87" s="3">
        <v>19237</v>
      </c>
      <c r="G87" s="4" t="s">
        <v>248</v>
      </c>
      <c r="H87" s="4" t="s">
        <v>248</v>
      </c>
      <c r="I87" s="4" t="s">
        <v>248</v>
      </c>
      <c r="J87" s="4" t="s">
        <v>248</v>
      </c>
      <c r="K87" s="1" t="s">
        <v>373</v>
      </c>
    </row>
    <row r="88" spans="1:11">
      <c r="A88" s="1" t="s">
        <v>374</v>
      </c>
      <c r="B88" s="3">
        <v>3963</v>
      </c>
      <c r="C88" s="3">
        <v>3555</v>
      </c>
      <c r="D88" s="3">
        <v>3228</v>
      </c>
      <c r="E88" s="3">
        <v>3853</v>
      </c>
      <c r="F88" s="3">
        <v>4480</v>
      </c>
      <c r="G88" s="4" t="s">
        <v>248</v>
      </c>
      <c r="H88" s="4" t="s">
        <v>248</v>
      </c>
      <c r="I88" s="4" t="s">
        <v>248</v>
      </c>
      <c r="J88" s="4" t="s">
        <v>248</v>
      </c>
      <c r="K88" s="1" t="s">
        <v>375</v>
      </c>
    </row>
    <row r="89" spans="1:11">
      <c r="A89" s="1" t="s">
        <v>376</v>
      </c>
      <c r="B89" s="3">
        <v>3227</v>
      </c>
      <c r="C89" s="3">
        <v>2786</v>
      </c>
      <c r="D89" s="3">
        <v>2620</v>
      </c>
      <c r="E89" s="3">
        <v>3361</v>
      </c>
      <c r="F89" s="3">
        <v>4099</v>
      </c>
      <c r="G89" s="4" t="s">
        <v>248</v>
      </c>
      <c r="H89" s="4" t="s">
        <v>248</v>
      </c>
      <c r="I89" s="4" t="s">
        <v>248</v>
      </c>
      <c r="J89" s="4" t="s">
        <v>248</v>
      </c>
      <c r="K89" s="1" t="s">
        <v>377</v>
      </c>
    </row>
    <row r="90" spans="1:11">
      <c r="A90" s="1" t="s">
        <v>378</v>
      </c>
      <c r="B90" s="3">
        <v>408</v>
      </c>
      <c r="C90" s="3">
        <v>308</v>
      </c>
      <c r="D90" s="3">
        <v>407</v>
      </c>
      <c r="E90" s="3">
        <v>214</v>
      </c>
      <c r="F90" s="3">
        <v>76</v>
      </c>
      <c r="G90" s="4" t="s">
        <v>248</v>
      </c>
      <c r="H90" s="4" t="s">
        <v>248</v>
      </c>
      <c r="I90" s="4" t="s">
        <v>248</v>
      </c>
      <c r="J90" s="4" t="s">
        <v>248</v>
      </c>
      <c r="K90" s="1" t="s">
        <v>379</v>
      </c>
    </row>
    <row r="91" spans="1:11">
      <c r="A91" s="1" t="s">
        <v>380</v>
      </c>
      <c r="B91" s="3">
        <v>159</v>
      </c>
      <c r="C91" s="3">
        <v>133</v>
      </c>
      <c r="D91" s="3">
        <v>130</v>
      </c>
      <c r="E91" s="3">
        <v>143</v>
      </c>
      <c r="F91" s="3">
        <v>151</v>
      </c>
      <c r="G91" s="4" t="s">
        <v>248</v>
      </c>
      <c r="H91" s="4" t="s">
        <v>248</v>
      </c>
      <c r="I91" s="4" t="s">
        <v>248</v>
      </c>
      <c r="J91" s="4" t="s">
        <v>248</v>
      </c>
      <c r="K91" s="1" t="s">
        <v>381</v>
      </c>
    </row>
    <row r="92" spans="1:11">
      <c r="A92" s="7" t="s">
        <v>382</v>
      </c>
    </row>
    <row r="93" spans="1:11">
      <c r="A93" s="1" t="s">
        <v>383</v>
      </c>
      <c r="B93" s="4" t="s">
        <v>248</v>
      </c>
      <c r="C93" s="4" t="s">
        <v>248</v>
      </c>
      <c r="D93" s="4" t="s">
        <v>248</v>
      </c>
      <c r="E93" s="4" t="s">
        <v>248</v>
      </c>
      <c r="F93" s="4" t="s">
        <v>248</v>
      </c>
      <c r="G93" s="4" t="s">
        <v>248</v>
      </c>
      <c r="H93" s="4" t="s">
        <v>248</v>
      </c>
      <c r="I93" s="4" t="s">
        <v>248</v>
      </c>
      <c r="J93" s="4" t="s">
        <v>248</v>
      </c>
      <c r="K93" s="1" t="s">
        <v>384</v>
      </c>
    </row>
    <row r="94" spans="1:11">
      <c r="A94" s="1" t="s">
        <v>385</v>
      </c>
      <c r="B94" s="4" t="s">
        <v>248</v>
      </c>
      <c r="C94" s="4" t="s">
        <v>248</v>
      </c>
      <c r="D94" s="4" t="s">
        <v>248</v>
      </c>
      <c r="E94" s="4" t="s">
        <v>248</v>
      </c>
      <c r="F94" s="4" t="s">
        <v>248</v>
      </c>
      <c r="G94" s="4" t="s">
        <v>248</v>
      </c>
      <c r="H94" s="4" t="s">
        <v>248</v>
      </c>
      <c r="I94" s="4" t="s">
        <v>248</v>
      </c>
      <c r="J94" s="4" t="s">
        <v>248</v>
      </c>
      <c r="K94" s="1" t="s">
        <v>386</v>
      </c>
    </row>
    <row r="95" spans="1:11">
      <c r="A95" s="1" t="s">
        <v>387</v>
      </c>
      <c r="B95" s="4" t="s">
        <v>248</v>
      </c>
      <c r="C95" s="4" t="s">
        <v>248</v>
      </c>
      <c r="D95" s="4" t="s">
        <v>248</v>
      </c>
      <c r="E95" s="4" t="s">
        <v>248</v>
      </c>
      <c r="F95" s="4" t="s">
        <v>248</v>
      </c>
      <c r="G95" s="4" t="s">
        <v>248</v>
      </c>
      <c r="H95" s="4" t="s">
        <v>248</v>
      </c>
      <c r="I95" s="4" t="s">
        <v>248</v>
      </c>
      <c r="J95" s="4" t="s">
        <v>248</v>
      </c>
      <c r="K95" s="1" t="s">
        <v>386</v>
      </c>
    </row>
    <row r="96" spans="1:11">
      <c r="A96" s="1" t="s">
        <v>388</v>
      </c>
      <c r="B96" s="4" t="s">
        <v>248</v>
      </c>
      <c r="C96" s="4" t="s">
        <v>248</v>
      </c>
      <c r="D96" s="4" t="s">
        <v>248</v>
      </c>
      <c r="E96" s="4" t="s">
        <v>248</v>
      </c>
      <c r="F96" s="4" t="s">
        <v>248</v>
      </c>
      <c r="G96" s="4" t="s">
        <v>248</v>
      </c>
      <c r="H96" s="4" t="s">
        <v>248</v>
      </c>
      <c r="I96" s="4" t="s">
        <v>248</v>
      </c>
      <c r="J96" s="4" t="s">
        <v>248</v>
      </c>
      <c r="K96" s="1" t="s">
        <v>386</v>
      </c>
    </row>
    <row r="97" spans="1:11">
      <c r="A97" s="1" t="s">
        <v>389</v>
      </c>
      <c r="I97" s="22">
        <v>0.23</v>
      </c>
      <c r="K97" s="1" t="s">
        <v>390</v>
      </c>
    </row>
    <row r="98" spans="1:11">
      <c r="A98" s="1" t="s">
        <v>391</v>
      </c>
      <c r="I98" s="22">
        <v>0.09</v>
      </c>
      <c r="K98" s="1" t="s">
        <v>392</v>
      </c>
    </row>
    <row r="99" spans="1:11">
      <c r="A99" s="1" t="s">
        <v>393</v>
      </c>
      <c r="I99" s="22">
        <v>7.0000000000000007E-2</v>
      </c>
      <c r="K99" s="1" t="s">
        <v>394</v>
      </c>
    </row>
    <row r="100" spans="1:11">
      <c r="A100" s="1" t="s">
        <v>395</v>
      </c>
      <c r="I100" s="22">
        <v>-0.05</v>
      </c>
      <c r="K100" s="1" t="s">
        <v>396</v>
      </c>
    </row>
    <row r="101" spans="1:11">
      <c r="A101" s="1" t="s">
        <v>397</v>
      </c>
      <c r="I101" s="22">
        <v>0.21</v>
      </c>
      <c r="K101" s="1" t="s">
        <v>398</v>
      </c>
    </row>
    <row r="102" spans="1:11">
      <c r="A102" s="1" t="s">
        <v>399</v>
      </c>
      <c r="I102" s="22">
        <v>0.02</v>
      </c>
      <c r="K102" s="1" t="s">
        <v>400</v>
      </c>
    </row>
    <row r="104" spans="1:11">
      <c r="A104" s="2" t="s">
        <v>401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1" t="s">
        <v>402</v>
      </c>
      <c r="B105" s="24" t="s">
        <v>403</v>
      </c>
      <c r="C105" s="24" t="s">
        <v>404</v>
      </c>
      <c r="D105" s="24" t="s">
        <v>405</v>
      </c>
      <c r="E105" s="24" t="s">
        <v>406</v>
      </c>
      <c r="F105" s="24" t="s">
        <v>407</v>
      </c>
      <c r="G105" s="23"/>
      <c r="H105" s="23"/>
      <c r="I105" s="24" t="s">
        <v>408</v>
      </c>
      <c r="J105" s="24" t="s">
        <v>408</v>
      </c>
    </row>
    <row r="106" spans="1:11">
      <c r="A106" s="1" t="s">
        <v>409</v>
      </c>
      <c r="B106" s="3">
        <v>7832</v>
      </c>
      <c r="C106" s="3">
        <v>6220</v>
      </c>
      <c r="D106" s="3">
        <v>6587</v>
      </c>
      <c r="E106" s="3">
        <v>5578</v>
      </c>
      <c r="F106" s="3">
        <v>7435</v>
      </c>
      <c r="I106" s="3">
        <v>9173</v>
      </c>
      <c r="J106" s="6">
        <f>I106</f>
        <v>9173</v>
      </c>
      <c r="K106" s="1" t="s">
        <v>410</v>
      </c>
    </row>
    <row r="107" spans="1:11">
      <c r="A107" s="1" t="s">
        <v>411</v>
      </c>
      <c r="B107" s="3">
        <v>9661</v>
      </c>
      <c r="C107" s="3">
        <v>9108</v>
      </c>
      <c r="D107" s="3">
        <v>10838</v>
      </c>
      <c r="E107" s="3">
        <v>10976</v>
      </c>
      <c r="F107" s="3">
        <v>14701</v>
      </c>
      <c r="I107" s="3">
        <v>14681</v>
      </c>
      <c r="J107" s="6">
        <f>I107</f>
        <v>14681</v>
      </c>
      <c r="K107" s="1" t="s">
        <v>412</v>
      </c>
    </row>
    <row r="108" spans="1:11">
      <c r="A108" s="1" t="s">
        <v>413</v>
      </c>
      <c r="B108" s="3">
        <v>11361</v>
      </c>
      <c r="C108" s="3">
        <v>11534</v>
      </c>
      <c r="D108" s="3">
        <v>12139</v>
      </c>
      <c r="E108" s="3">
        <v>14570</v>
      </c>
      <c r="F108" s="3">
        <v>17092</v>
      </c>
      <c r="I108" s="3">
        <v>18701</v>
      </c>
      <c r="J108" s="6">
        <f>I108</f>
        <v>18701</v>
      </c>
      <c r="K108" s="1" t="s">
        <v>414</v>
      </c>
    </row>
    <row r="109" spans="1:11">
      <c r="A109" s="1" t="s">
        <v>415</v>
      </c>
      <c r="B109" s="3">
        <v>9178</v>
      </c>
      <c r="C109" s="3">
        <v>10617</v>
      </c>
      <c r="D109" s="3">
        <v>11777</v>
      </c>
      <c r="E109" s="3">
        <v>12768</v>
      </c>
      <c r="F109" s="3">
        <v>13364</v>
      </c>
      <c r="I109" s="3">
        <v>14953</v>
      </c>
      <c r="J109" s="6">
        <f>I109</f>
        <v>14953</v>
      </c>
      <c r="K109" s="1" t="s">
        <v>416</v>
      </c>
    </row>
    <row r="110" spans="1:11">
      <c r="A110" s="1" t="s">
        <v>417</v>
      </c>
      <c r="B110" s="3">
        <v>4018</v>
      </c>
      <c r="C110" s="3">
        <v>4964</v>
      </c>
      <c r="D110" s="3">
        <v>7076</v>
      </c>
      <c r="E110" s="3">
        <v>7241</v>
      </c>
      <c r="F110" s="3">
        <v>7740</v>
      </c>
      <c r="I110" s="3">
        <v>8561</v>
      </c>
      <c r="J110" s="6">
        <f>I110</f>
        <v>8561</v>
      </c>
      <c r="K110" s="1" t="s">
        <v>418</v>
      </c>
    </row>
    <row r="111" spans="1:11">
      <c r="A111" s="7" t="s">
        <v>419</v>
      </c>
      <c r="B111" s="9">
        <f>SUM(B106:B110)</f>
        <v>42050</v>
      </c>
      <c r="C111" s="9">
        <f>SUM(C106:C110)</f>
        <v>42443</v>
      </c>
      <c r="D111" s="9">
        <f>SUM(D106:D110)</f>
        <v>48417</v>
      </c>
      <c r="E111" s="9">
        <f>SUM(E106:E110)</f>
        <v>51133</v>
      </c>
      <c r="F111" s="9">
        <f>SUM(F106:F110)</f>
        <v>60332</v>
      </c>
      <c r="G111" s="8"/>
      <c r="H111" s="8"/>
      <c r="I111" s="9">
        <f>SUM(I106:I110)</f>
        <v>66069</v>
      </c>
      <c r="J111" s="9">
        <f>SUM(J106:J110)</f>
        <v>66069</v>
      </c>
      <c r="K111" s="7" t="s">
        <v>283</v>
      </c>
    </row>
    <row r="112" spans="1:11">
      <c r="A112" s="1" t="s">
        <v>420</v>
      </c>
      <c r="B112" s="3">
        <v>2848</v>
      </c>
      <c r="C112" s="3">
        <v>2603</v>
      </c>
      <c r="D112" s="3">
        <v>2392</v>
      </c>
      <c r="E112" s="3">
        <v>2246</v>
      </c>
      <c r="F112" s="3">
        <v>2132</v>
      </c>
      <c r="I112" s="3">
        <v>1880</v>
      </c>
      <c r="J112" s="6">
        <f>I112</f>
        <v>1880</v>
      </c>
      <c r="K112" s="1" t="s">
        <v>421</v>
      </c>
    </row>
    <row r="113" spans="1:11">
      <c r="A113" s="1" t="s">
        <v>422</v>
      </c>
      <c r="B113" s="3">
        <v>14972</v>
      </c>
      <c r="C113" s="3">
        <v>15170</v>
      </c>
      <c r="D113" s="3">
        <v>15748</v>
      </c>
      <c r="E113" s="3">
        <v>16089</v>
      </c>
      <c r="F113" s="3">
        <v>16868</v>
      </c>
      <c r="I113" s="3">
        <v>17235</v>
      </c>
      <c r="J113" s="6">
        <f>I113</f>
        <v>17235</v>
      </c>
      <c r="K113" s="1" t="s">
        <v>423</v>
      </c>
    </row>
    <row r="114" spans="1:11">
      <c r="A114" s="1" t="s">
        <v>424</v>
      </c>
      <c r="B114" s="3">
        <v>1958</v>
      </c>
      <c r="C114" s="3">
        <v>1829</v>
      </c>
      <c r="D114" s="3">
        <v>1638</v>
      </c>
      <c r="E114" s="3">
        <v>1864</v>
      </c>
      <c r="F114" s="3">
        <v>1887</v>
      </c>
      <c r="I114" s="3">
        <v>1770</v>
      </c>
      <c r="J114" s="6">
        <f>I114</f>
        <v>1770</v>
      </c>
      <c r="K114" s="1" t="s">
        <v>425</v>
      </c>
    </row>
    <row r="115" spans="1:11">
      <c r="A115" s="1" t="s">
        <v>426</v>
      </c>
      <c r="B115" s="3">
        <v>54436</v>
      </c>
      <c r="C115" s="3">
        <v>53840</v>
      </c>
      <c r="D115" s="3">
        <v>53699</v>
      </c>
      <c r="E115" s="3">
        <v>52789</v>
      </c>
      <c r="F115" s="3">
        <v>53343</v>
      </c>
      <c r="I115" s="3">
        <v>52969</v>
      </c>
      <c r="J115" s="6">
        <f>I115</f>
        <v>52969</v>
      </c>
      <c r="K115" s="1" t="s">
        <v>427</v>
      </c>
    </row>
    <row r="116" spans="1:11">
      <c r="A116" s="1" t="s">
        <v>428</v>
      </c>
      <c r="B116" s="3">
        <v>38516</v>
      </c>
      <c r="C116" s="3">
        <v>36823</v>
      </c>
      <c r="D116" s="3">
        <v>35399</v>
      </c>
      <c r="E116" s="3">
        <v>33443</v>
      </c>
      <c r="F116" s="3">
        <v>31845</v>
      </c>
      <c r="I116" s="3">
        <v>30652</v>
      </c>
      <c r="J116" s="6">
        <f>I116</f>
        <v>30652</v>
      </c>
      <c r="K116" s="1" t="s">
        <v>429</v>
      </c>
    </row>
    <row r="117" spans="1:11">
      <c r="A117" s="1" t="s">
        <v>430</v>
      </c>
      <c r="B117" s="3">
        <v>6624</v>
      </c>
      <c r="C117" s="3">
        <v>6156</v>
      </c>
      <c r="D117" s="3">
        <v>4576</v>
      </c>
      <c r="E117" s="3">
        <v>5297</v>
      </c>
      <c r="F117" s="3">
        <v>4672</v>
      </c>
      <c r="I117" s="3">
        <v>6021</v>
      </c>
      <c r="J117" s="6">
        <f>I117</f>
        <v>6021</v>
      </c>
      <c r="K117" s="1" t="s">
        <v>431</v>
      </c>
    </row>
    <row r="118" spans="1:11">
      <c r="A118" s="7" t="s">
        <v>432</v>
      </c>
      <c r="B118" s="9">
        <f>B111+SUM(B112:B117)</f>
        <v>161404</v>
      </c>
      <c r="C118" s="9">
        <f>C111+SUM(C112:C117)</f>
        <v>158864</v>
      </c>
      <c r="D118" s="9">
        <f>D111+SUM(D112:D117)</f>
        <v>161869</v>
      </c>
      <c r="E118" s="9">
        <f>E111+SUM(E112:E117)</f>
        <v>162861</v>
      </c>
      <c r="F118" s="9">
        <f>F111+SUM(F112:F117)</f>
        <v>171079</v>
      </c>
      <c r="G118" s="8"/>
      <c r="H118" s="8"/>
      <c r="I118" s="9">
        <f>I111+SUM(I112:I117)</f>
        <v>176596</v>
      </c>
      <c r="J118" s="9">
        <f>J111+SUM(J112:J117)</f>
        <v>176596</v>
      </c>
      <c r="K118" s="7" t="s">
        <v>283</v>
      </c>
    </row>
    <row r="119" spans="1:11">
      <c r="A119" s="1" t="s">
        <v>433</v>
      </c>
      <c r="B119" s="3">
        <v>134</v>
      </c>
      <c r="C119" s="3">
        <v>625</v>
      </c>
      <c r="D119" s="3">
        <v>189</v>
      </c>
      <c r="E119" s="3">
        <v>183</v>
      </c>
      <c r="F119" s="3">
        <v>204</v>
      </c>
      <c r="I119" s="3">
        <v>210</v>
      </c>
      <c r="J119" s="6">
        <f>I119</f>
        <v>210</v>
      </c>
      <c r="K119" s="1" t="s">
        <v>434</v>
      </c>
    </row>
    <row r="120" spans="1:11">
      <c r="A120" s="1" t="s">
        <v>435</v>
      </c>
      <c r="B120" s="3">
        <v>8751</v>
      </c>
      <c r="C120" s="3">
        <v>9896</v>
      </c>
      <c r="D120" s="3">
        <v>10698</v>
      </c>
      <c r="E120" s="3">
        <v>12897</v>
      </c>
      <c r="F120" s="3">
        <v>15895</v>
      </c>
      <c r="I120" s="3">
        <v>17803</v>
      </c>
      <c r="J120" s="6">
        <f>I120</f>
        <v>17803</v>
      </c>
      <c r="K120" s="1" t="s">
        <v>436</v>
      </c>
    </row>
    <row r="121" spans="1:11">
      <c r="A121" s="1" t="s">
        <v>437</v>
      </c>
      <c r="B121" s="3">
        <v>2658</v>
      </c>
      <c r="C121" s="3">
        <v>2401</v>
      </c>
      <c r="D121" s="3">
        <v>2491</v>
      </c>
      <c r="E121" s="3">
        <v>2620</v>
      </c>
      <c r="F121" s="3">
        <v>3308</v>
      </c>
      <c r="I121" s="3">
        <v>3155</v>
      </c>
      <c r="J121" s="6">
        <f>I121</f>
        <v>3155</v>
      </c>
      <c r="K121" s="1" t="s">
        <v>438</v>
      </c>
    </row>
    <row r="122" spans="1:11">
      <c r="A122" s="1" t="s">
        <v>439</v>
      </c>
      <c r="B122" s="3">
        <v>10162</v>
      </c>
      <c r="C122" s="3">
        <v>10999</v>
      </c>
      <c r="D122" s="3">
        <v>14917</v>
      </c>
      <c r="E122" s="3">
        <v>14831</v>
      </c>
      <c r="F122" s="3">
        <v>14350</v>
      </c>
      <c r="I122" s="3">
        <v>14801</v>
      </c>
      <c r="J122" s="6">
        <f>I122</f>
        <v>14801</v>
      </c>
      <c r="K122" s="1" t="s">
        <v>440</v>
      </c>
    </row>
    <row r="123" spans="1:11">
      <c r="A123" s="1" t="s">
        <v>441</v>
      </c>
      <c r="B123" s="3">
        <v>13720</v>
      </c>
      <c r="C123" s="3">
        <v>14598</v>
      </c>
      <c r="D123" s="3">
        <v>17183</v>
      </c>
      <c r="E123" s="3">
        <v>18616</v>
      </c>
      <c r="F123" s="3">
        <v>21615</v>
      </c>
      <c r="I123" s="3">
        <v>21550</v>
      </c>
      <c r="J123" s="6">
        <f>I123</f>
        <v>21550</v>
      </c>
      <c r="K123" s="1" t="s">
        <v>442</v>
      </c>
    </row>
    <row r="124" spans="1:11">
      <c r="A124" s="1" t="s">
        <v>443</v>
      </c>
      <c r="B124" s="3">
        <v>24</v>
      </c>
      <c r="C124" s="3">
        <v>595</v>
      </c>
      <c r="D124" s="3">
        <v>1283</v>
      </c>
      <c r="E124" s="3">
        <v>2352</v>
      </c>
      <c r="F124" s="3">
        <v>3412</v>
      </c>
      <c r="I124" s="3">
        <v>5679</v>
      </c>
      <c r="J124" s="6">
        <f>I124</f>
        <v>5679</v>
      </c>
      <c r="K124" s="1" t="s">
        <v>444</v>
      </c>
    </row>
    <row r="125" spans="1:11">
      <c r="A125" s="7" t="s">
        <v>445</v>
      </c>
      <c r="B125" s="9">
        <f>SUM(B119:B124)</f>
        <v>35449</v>
      </c>
      <c r="C125" s="9">
        <f>SUM(C119:C124)</f>
        <v>39114</v>
      </c>
      <c r="D125" s="9">
        <f>SUM(D119:D124)</f>
        <v>46761</v>
      </c>
      <c r="E125" s="9">
        <f>SUM(E119:E124)</f>
        <v>51499</v>
      </c>
      <c r="F125" s="9">
        <f>SUM(F119:F124)</f>
        <v>58784</v>
      </c>
      <c r="G125" s="8"/>
      <c r="H125" s="8"/>
      <c r="I125" s="9">
        <f>SUM(I119:I124)</f>
        <v>63198</v>
      </c>
      <c r="J125" s="9">
        <f>SUM(J119:J124)</f>
        <v>63198</v>
      </c>
      <c r="K125" s="7" t="s">
        <v>283</v>
      </c>
    </row>
    <row r="126" spans="1:11">
      <c r="A126" s="1" t="s">
        <v>446</v>
      </c>
      <c r="B126" s="3">
        <v>31327</v>
      </c>
      <c r="C126" s="3">
        <v>30694</v>
      </c>
      <c r="D126" s="3">
        <v>42355</v>
      </c>
      <c r="E126" s="3">
        <v>38726</v>
      </c>
      <c r="F126" s="3">
        <v>34288</v>
      </c>
      <c r="I126" s="3">
        <v>31490</v>
      </c>
      <c r="J126" s="6">
        <f>I126</f>
        <v>31490</v>
      </c>
      <c r="K126" s="1" t="s">
        <v>447</v>
      </c>
    </row>
    <row r="127" spans="1:11">
      <c r="A127" s="1" t="s">
        <v>448</v>
      </c>
      <c r="B127" s="3">
        <v>1657</v>
      </c>
      <c r="C127" s="3">
        <v>1586</v>
      </c>
      <c r="D127" s="3">
        <v>1412</v>
      </c>
      <c r="E127" s="3">
        <v>1632</v>
      </c>
      <c r="F127" s="3">
        <v>1602</v>
      </c>
      <c r="I127" s="3">
        <v>1495</v>
      </c>
      <c r="J127" s="6">
        <f>I127</f>
        <v>1495</v>
      </c>
      <c r="K127" s="1" t="s">
        <v>449</v>
      </c>
    </row>
    <row r="128" spans="1:11">
      <c r="A128" s="1" t="s">
        <v>450</v>
      </c>
      <c r="B128" s="3">
        <v>7855</v>
      </c>
      <c r="C128" s="3">
        <v>4807</v>
      </c>
      <c r="D128" s="3">
        <v>2385</v>
      </c>
      <c r="E128" s="3">
        <v>2104</v>
      </c>
      <c r="F128" s="3">
        <v>2067</v>
      </c>
      <c r="I128" s="3">
        <v>1913</v>
      </c>
      <c r="J128" s="6">
        <f>I128</f>
        <v>1913</v>
      </c>
      <c r="K128" s="1" t="s">
        <v>451</v>
      </c>
    </row>
    <row r="129" spans="1:11">
      <c r="A129" s="1" t="s">
        <v>452</v>
      </c>
      <c r="B129" s="3">
        <v>10417</v>
      </c>
      <c r="C129" s="3">
        <v>8449</v>
      </c>
      <c r="D129" s="3">
        <v>7511</v>
      </c>
      <c r="E129" s="3">
        <v>6942</v>
      </c>
      <c r="F129" s="3">
        <v>7200</v>
      </c>
      <c r="I129" s="3">
        <v>7508</v>
      </c>
      <c r="J129" s="6">
        <f>I129</f>
        <v>7508</v>
      </c>
      <c r="K129" s="1" t="s">
        <v>453</v>
      </c>
    </row>
    <row r="130" spans="1:11">
      <c r="A130" s="7" t="s">
        <v>454</v>
      </c>
      <c r="B130" s="9">
        <f>B125+SUM(B126:B129)</f>
        <v>86705</v>
      </c>
      <c r="C130" s="9">
        <f>C125+SUM(C126:C129)</f>
        <v>84650</v>
      </c>
      <c r="D130" s="9">
        <f>D125+SUM(D126:D129)</f>
        <v>100424</v>
      </c>
      <c r="E130" s="9">
        <f>E125+SUM(E126:E129)</f>
        <v>100903</v>
      </c>
      <c r="F130" s="9">
        <f>F125+SUM(F126:F129)</f>
        <v>103941</v>
      </c>
      <c r="G130" s="8"/>
      <c r="H130" s="8"/>
      <c r="I130" s="9">
        <f>I125+SUM(I126:I129)</f>
        <v>105604</v>
      </c>
      <c r="J130" s="9">
        <f>J125+SUM(J126:J129)</f>
        <v>105604</v>
      </c>
      <c r="K130" s="7" t="s">
        <v>283</v>
      </c>
    </row>
    <row r="131" spans="1:11">
      <c r="A131" s="1" t="s">
        <v>455</v>
      </c>
      <c r="B131" s="3">
        <v>35</v>
      </c>
      <c r="C131" s="3">
        <v>36</v>
      </c>
      <c r="D131" s="3">
        <v>35</v>
      </c>
      <c r="E131" s="3">
        <v>35</v>
      </c>
      <c r="F131" s="3">
        <v>36</v>
      </c>
      <c r="I131" s="3">
        <v>28</v>
      </c>
      <c r="J131" s="6">
        <f>I131</f>
        <v>28</v>
      </c>
      <c r="K131" s="1" t="s">
        <v>456</v>
      </c>
    </row>
    <row r="132" spans="1:11">
      <c r="A132" s="1" t="s">
        <v>457</v>
      </c>
      <c r="B132" s="3">
        <v>37483</v>
      </c>
      <c r="C132" s="3">
        <v>37939</v>
      </c>
      <c r="D132" s="3">
        <v>37055</v>
      </c>
      <c r="E132" s="3">
        <v>37434</v>
      </c>
      <c r="F132" s="3">
        <v>38126</v>
      </c>
      <c r="I132" s="3">
        <v>38673</v>
      </c>
      <c r="J132" s="6">
        <f>I132</f>
        <v>38673</v>
      </c>
      <c r="K132" s="1" t="s">
        <v>458</v>
      </c>
    </row>
    <row r="133" spans="1:11">
      <c r="A133" s="1" t="s">
        <v>459</v>
      </c>
      <c r="B133" s="3">
        <v>-12727</v>
      </c>
      <c r="C133" s="3">
        <v>-15530</v>
      </c>
      <c r="D133" s="3">
        <v>-26977</v>
      </c>
      <c r="E133" s="3">
        <v>-27112</v>
      </c>
      <c r="F133" s="3">
        <v>-26881</v>
      </c>
      <c r="I133" s="3">
        <v>-26712</v>
      </c>
      <c r="J133" s="6">
        <f>I133</f>
        <v>-26712</v>
      </c>
      <c r="K133" s="1" t="s">
        <v>460</v>
      </c>
    </row>
    <row r="134" spans="1:11">
      <c r="A134" s="1" t="s">
        <v>461</v>
      </c>
      <c r="B134" s="3">
        <v>50265</v>
      </c>
      <c r="C134" s="3">
        <v>52269</v>
      </c>
      <c r="D134" s="3">
        <v>52154</v>
      </c>
      <c r="E134" s="3">
        <v>53589</v>
      </c>
      <c r="F134" s="3">
        <v>56718</v>
      </c>
      <c r="I134" s="3">
        <v>60597</v>
      </c>
      <c r="J134" s="6">
        <f>I134</f>
        <v>60597</v>
      </c>
      <c r="K134" s="1" t="s">
        <v>462</v>
      </c>
    </row>
    <row r="135" spans="1:11">
      <c r="A135" s="1" t="s">
        <v>463</v>
      </c>
      <c r="B135" s="3">
        <v>-38</v>
      </c>
      <c r="C135" s="3">
        <v>-28</v>
      </c>
      <c r="D135" s="3">
        <v>-15</v>
      </c>
      <c r="E135" s="3">
        <v>0</v>
      </c>
      <c r="F135" s="3">
        <v>0</v>
      </c>
      <c r="I135" s="3">
        <v>0</v>
      </c>
      <c r="J135" s="6">
        <f>I135</f>
        <v>0</v>
      </c>
      <c r="K135" s="1" t="s">
        <v>464</v>
      </c>
    </row>
    <row r="136" spans="1:11">
      <c r="A136" s="1" t="s">
        <v>465</v>
      </c>
      <c r="B136" s="3">
        <v>-1915</v>
      </c>
      <c r="C136" s="3">
        <v>-2018</v>
      </c>
      <c r="D136" s="3">
        <v>-2419</v>
      </c>
      <c r="E136" s="3">
        <v>-3755</v>
      </c>
      <c r="F136" s="3">
        <v>-2718</v>
      </c>
      <c r="I136" s="3">
        <v>-3308</v>
      </c>
      <c r="J136" s="6">
        <f>I136</f>
        <v>-3308</v>
      </c>
      <c r="K136" s="1" t="s">
        <v>466</v>
      </c>
    </row>
    <row r="137" spans="1:11">
      <c r="A137" s="1" t="s">
        <v>467</v>
      </c>
      <c r="B137" s="12">
        <f>SUM(B132:B136)</f>
        <v>73068</v>
      </c>
      <c r="C137" s="12">
        <f>SUM(C132:C136)</f>
        <v>72632</v>
      </c>
      <c r="D137" s="12">
        <f>SUM(D132:D136)</f>
        <v>59798</v>
      </c>
      <c r="E137" s="12">
        <f>SUM(E132:E136)</f>
        <v>60156</v>
      </c>
      <c r="F137" s="12">
        <f>SUM(F132:F136)</f>
        <v>65245</v>
      </c>
      <c r="G137" s="11"/>
      <c r="H137" s="11"/>
      <c r="I137" s="12">
        <f>SUM(I132:I136)</f>
        <v>69250</v>
      </c>
      <c r="J137" s="12">
        <f>SUM(J132:J136)</f>
        <v>69250</v>
      </c>
      <c r="K137" s="1" t="s">
        <v>283</v>
      </c>
    </row>
    <row r="138" spans="1:11">
      <c r="A138" s="1" t="s">
        <v>468</v>
      </c>
      <c r="B138" s="3">
        <v>1596</v>
      </c>
      <c r="C138" s="3">
        <v>1546</v>
      </c>
      <c r="D138" s="3">
        <v>1612</v>
      </c>
      <c r="E138" s="3">
        <v>1767</v>
      </c>
      <c r="F138" s="3">
        <v>1857</v>
      </c>
      <c r="I138" s="3">
        <v>1714</v>
      </c>
      <c r="J138" s="6">
        <f>I138</f>
        <v>1714</v>
      </c>
      <c r="K138" s="1" t="s">
        <v>469</v>
      </c>
    </row>
    <row r="139" spans="1:11">
      <c r="A139" s="7" t="s">
        <v>470</v>
      </c>
      <c r="B139" s="14">
        <f>B137+B138</f>
        <v>74664</v>
      </c>
      <c r="C139" s="14">
        <f>C137+C138</f>
        <v>74178</v>
      </c>
      <c r="D139" s="14">
        <f>D137+D138</f>
        <v>61410</v>
      </c>
      <c r="E139" s="14">
        <f>E137+E138</f>
        <v>61923</v>
      </c>
      <c r="F139" s="14">
        <f>F137+F138</f>
        <v>67102</v>
      </c>
      <c r="G139" s="7"/>
      <c r="H139" s="7"/>
      <c r="I139" s="14">
        <f>I137+I138</f>
        <v>70964</v>
      </c>
      <c r="J139" s="14">
        <f>J137+J138</f>
        <v>70964</v>
      </c>
      <c r="K139" s="7" t="s">
        <v>283</v>
      </c>
    </row>
    <row r="140" spans="1:11">
      <c r="A140" s="7" t="s">
        <v>471</v>
      </c>
      <c r="B140" s="9">
        <f>B130+B131+B139</f>
        <v>161404</v>
      </c>
      <c r="C140" s="9">
        <f>C130+C131+C139</f>
        <v>158864</v>
      </c>
      <c r="D140" s="9">
        <f>D130+D131+D139</f>
        <v>161869</v>
      </c>
      <c r="E140" s="9">
        <f>E130+E131+E139</f>
        <v>162861</v>
      </c>
      <c r="F140" s="9">
        <f>F130+F131+F139</f>
        <v>171079</v>
      </c>
      <c r="G140" s="8"/>
      <c r="H140" s="8"/>
      <c r="I140" s="9">
        <f>I130+I131+I139</f>
        <v>176596</v>
      </c>
      <c r="J140" s="9">
        <f>J130+J131+J139</f>
        <v>176596</v>
      </c>
      <c r="K140" s="7" t="s">
        <v>283</v>
      </c>
    </row>
    <row r="141" spans="1:11">
      <c r="A141" s="1" t="s">
        <v>472</v>
      </c>
      <c r="B141" s="6">
        <f>B118-B140</f>
        <v>0</v>
      </c>
      <c r="C141" s="6">
        <f>C118-C140</f>
        <v>0</v>
      </c>
      <c r="D141" s="6">
        <f>D118-D140</f>
        <v>0</v>
      </c>
      <c r="E141" s="6">
        <f>E118-E140</f>
        <v>0</v>
      </c>
      <c r="F141" s="6">
        <f>F118-F140</f>
        <v>0</v>
      </c>
      <c r="I141" s="6">
        <f>I118-I140</f>
        <v>0</v>
      </c>
      <c r="J141" s="6">
        <f>J118-J140</f>
        <v>0</v>
      </c>
      <c r="K141" s="1" t="s">
        <v>473</v>
      </c>
    </row>
    <row r="142" spans="1:11">
      <c r="A142" s="1" t="s">
        <v>474</v>
      </c>
      <c r="B142" s="6">
        <f>B119+B124+B126</f>
        <v>31485</v>
      </c>
      <c r="C142" s="6">
        <f>C119+C124+C126</f>
        <v>31914</v>
      </c>
      <c r="D142" s="6">
        <f>D119+D124+D126</f>
        <v>43827</v>
      </c>
      <c r="E142" s="6">
        <f>E119+E124+E126</f>
        <v>41261</v>
      </c>
      <c r="F142" s="6">
        <f>F119+F124+F126</f>
        <v>37904</v>
      </c>
      <c r="I142" s="6">
        <f>I119+I124+I126</f>
        <v>37379</v>
      </c>
      <c r="J142" s="6">
        <f>J119+J124+J126</f>
        <v>37379</v>
      </c>
      <c r="K142" s="1" t="s">
        <v>475</v>
      </c>
    </row>
    <row r="143" spans="1:11">
      <c r="A143" s="7" t="s">
        <v>476</v>
      </c>
      <c r="B143" s="14">
        <f>B142-B106</f>
        <v>23653</v>
      </c>
      <c r="C143" s="14">
        <f>C142-C106</f>
        <v>25694</v>
      </c>
      <c r="D143" s="14">
        <f>D142-D106</f>
        <v>37240</v>
      </c>
      <c r="E143" s="14">
        <f>E142-E106</f>
        <v>35683</v>
      </c>
      <c r="F143" s="14">
        <f>F142-F106</f>
        <v>30469</v>
      </c>
      <c r="G143" s="7"/>
      <c r="H143" s="7"/>
      <c r="I143" s="14">
        <f>I142-I106</f>
        <v>28206</v>
      </c>
      <c r="J143" s="14">
        <f>J142-J106</f>
        <v>28206</v>
      </c>
      <c r="K143" s="7" t="s">
        <v>265</v>
      </c>
    </row>
    <row r="145" spans="1:11">
      <c r="A145" s="2" t="s">
        <v>477</v>
      </c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1" t="s">
        <v>288</v>
      </c>
      <c r="B146" s="3">
        <v>4145</v>
      </c>
      <c r="C146" s="3">
        <v>5327</v>
      </c>
      <c r="D146" s="3">
        <v>3380</v>
      </c>
      <c r="E146" s="3">
        <v>5013</v>
      </c>
      <c r="F146" s="3">
        <v>7069</v>
      </c>
      <c r="G146" s="3">
        <v>5356</v>
      </c>
      <c r="H146" s="3">
        <v>7114</v>
      </c>
      <c r="I146" s="3">
        <v>2708</v>
      </c>
      <c r="J146" s="6">
        <f>IF(COUNT(F146,G146,H146)=3,F146+H146-G146,"n/d")</f>
        <v>8827</v>
      </c>
      <c r="K146" s="1" t="s">
        <v>478</v>
      </c>
    </row>
    <row r="147" spans="1:11">
      <c r="A147" s="1" t="s">
        <v>479</v>
      </c>
      <c r="B147" s="3">
        <v>4557</v>
      </c>
      <c r="C147" s="3">
        <v>4108</v>
      </c>
      <c r="D147" s="3">
        <v>4211</v>
      </c>
      <c r="E147" s="3">
        <v>4364</v>
      </c>
      <c r="F147" s="3">
        <v>4378</v>
      </c>
      <c r="G147" s="3">
        <v>3219</v>
      </c>
      <c r="H147" s="3">
        <v>3218</v>
      </c>
      <c r="I147" s="3">
        <v>1068</v>
      </c>
      <c r="J147" s="6">
        <f>IF(COUNT(F147,G147,H147)=3,F147+H147-G147,"n/d")</f>
        <v>4377</v>
      </c>
      <c r="K147" s="1" t="s">
        <v>480</v>
      </c>
    </row>
    <row r="148" spans="1:11">
      <c r="A148" s="1" t="s">
        <v>481</v>
      </c>
      <c r="B148" s="3">
        <v>-88</v>
      </c>
      <c r="C148" s="3">
        <v>-1663</v>
      </c>
      <c r="D148" s="3">
        <v>-402</v>
      </c>
      <c r="E148" s="3">
        <v>-47</v>
      </c>
      <c r="F148" s="3">
        <v>789</v>
      </c>
      <c r="G148" s="3">
        <v>598</v>
      </c>
      <c r="H148" s="3">
        <v>60</v>
      </c>
      <c r="I148" s="3">
        <v>90</v>
      </c>
      <c r="J148" s="6">
        <f>IF(COUNT(F148,G148,H148)=3,F148+H148-G148,"n/d")</f>
        <v>251</v>
      </c>
      <c r="K148" s="1" t="s">
        <v>482</v>
      </c>
    </row>
    <row r="149" spans="1:11">
      <c r="A149" s="1" t="s">
        <v>483</v>
      </c>
      <c r="B149" s="3">
        <v>442</v>
      </c>
      <c r="C149" s="3">
        <v>420</v>
      </c>
      <c r="D149" s="3">
        <v>425</v>
      </c>
      <c r="E149" s="3">
        <v>437</v>
      </c>
      <c r="F149" s="3">
        <v>519</v>
      </c>
      <c r="G149" s="3">
        <v>337</v>
      </c>
      <c r="H149" s="3">
        <v>455</v>
      </c>
      <c r="I149" s="3">
        <v>159</v>
      </c>
      <c r="J149" s="6">
        <f>IF(COUNT(F149,G149,H149)=3,F149+H149-G149,"n/d")</f>
        <v>637</v>
      </c>
      <c r="K149" s="1" t="s">
        <v>484</v>
      </c>
    </row>
    <row r="150" spans="1:11">
      <c r="A150" s="1" t="s">
        <v>485</v>
      </c>
      <c r="B150" s="3">
        <v>-1414</v>
      </c>
      <c r="C150" s="3">
        <v>-1413</v>
      </c>
      <c r="D150" s="3">
        <v>-1555</v>
      </c>
      <c r="E150" s="3">
        <v>-1326</v>
      </c>
      <c r="F150" s="3">
        <v>-1011</v>
      </c>
      <c r="G150" s="3">
        <v>-956</v>
      </c>
      <c r="H150" s="3">
        <v>-920</v>
      </c>
      <c r="I150" s="3">
        <v>-304</v>
      </c>
      <c r="J150" s="6">
        <f>IF(COUNT(F150,G150,H150)=3,F150+H150-G150,"n/d")</f>
        <v>-975</v>
      </c>
      <c r="K150" s="1" t="s">
        <v>486</v>
      </c>
    </row>
    <row r="151" spans="1:11">
      <c r="A151" s="1" t="s">
        <v>487</v>
      </c>
      <c r="B151" s="3">
        <v>0</v>
      </c>
      <c r="C151" s="3">
        <v>0</v>
      </c>
      <c r="D151" s="3">
        <v>261</v>
      </c>
      <c r="E151" s="3">
        <v>353</v>
      </c>
      <c r="F151" s="3">
        <v>573</v>
      </c>
      <c r="G151" s="3">
        <v>435</v>
      </c>
      <c r="H151" s="3">
        <v>474</v>
      </c>
      <c r="I151" s="3">
        <v>135</v>
      </c>
      <c r="J151" s="6">
        <f>IF(COUNT(F151,G151,H151)=3,F151+H151-G151,"n/d")</f>
        <v>612</v>
      </c>
      <c r="K151" s="1" t="s">
        <v>488</v>
      </c>
    </row>
    <row r="152" spans="1:11">
      <c r="A152" s="1" t="s">
        <v>489</v>
      </c>
      <c r="B152" s="3">
        <v>649</v>
      </c>
      <c r="C152" s="3">
        <v>0</v>
      </c>
      <c r="D152" s="3">
        <v>0</v>
      </c>
      <c r="E152" s="3">
        <v>-415</v>
      </c>
      <c r="F152" s="3">
        <v>0</v>
      </c>
      <c r="G152" s="3">
        <v>0</v>
      </c>
      <c r="H152" s="3">
        <v>0</v>
      </c>
      <c r="I152" s="3">
        <v>0</v>
      </c>
      <c r="J152" s="6">
        <f>IF(COUNT(F152,G152,H152)=3,F152+H152-G152,"n/d")</f>
        <v>0</v>
      </c>
      <c r="K152" s="1" t="s">
        <v>490</v>
      </c>
    </row>
    <row r="153" spans="1:11">
      <c r="A153" s="1" t="s">
        <v>491</v>
      </c>
      <c r="B153" s="3">
        <v>-570</v>
      </c>
      <c r="C153" s="3">
        <v>437</v>
      </c>
      <c r="D153" s="3">
        <v>-1805</v>
      </c>
      <c r="E153" s="3">
        <v>-175</v>
      </c>
      <c r="F153" s="3">
        <v>-3235</v>
      </c>
      <c r="G153" s="3">
        <v>-1488</v>
      </c>
      <c r="H153" s="3">
        <v>377</v>
      </c>
      <c r="I153" s="3">
        <v>-717</v>
      </c>
      <c r="J153" s="6">
        <f>IF(COUNT(F153,G153,H153)=3,F153+H153-G153,"n/d")</f>
        <v>-1370</v>
      </c>
      <c r="K153" s="1" t="s">
        <v>492</v>
      </c>
    </row>
    <row r="154" spans="1:11">
      <c r="A154" s="1" t="s">
        <v>493</v>
      </c>
      <c r="B154" s="3">
        <v>-1594</v>
      </c>
      <c r="C154" s="3">
        <v>-234</v>
      </c>
      <c r="D154" s="3">
        <v>-753</v>
      </c>
      <c r="E154" s="3">
        <v>-2414</v>
      </c>
      <c r="F154" s="3">
        <v>-2643</v>
      </c>
      <c r="G154" s="3">
        <v>-2124</v>
      </c>
      <c r="H154" s="3">
        <v>-2184</v>
      </c>
      <c r="I154" s="3">
        <v>-242</v>
      </c>
      <c r="J154" s="6">
        <f>IF(COUNT(F154,G154,H154)=3,F154+H154-G154,"n/d")</f>
        <v>-2703</v>
      </c>
      <c r="K154" s="1" t="s">
        <v>494</v>
      </c>
    </row>
    <row r="155" spans="1:11">
      <c r="A155" s="1" t="s">
        <v>495</v>
      </c>
      <c r="B155" s="3">
        <v>163</v>
      </c>
      <c r="C155" s="3">
        <v>-1575</v>
      </c>
      <c r="D155" s="3">
        <v>-1104</v>
      </c>
      <c r="E155" s="3">
        <v>-1474</v>
      </c>
      <c r="F155" s="3">
        <v>-532</v>
      </c>
      <c r="G155" s="3">
        <v>-1015</v>
      </c>
      <c r="H155" s="3">
        <v>-1686</v>
      </c>
      <c r="I155" s="3">
        <v>-543</v>
      </c>
      <c r="J155" s="6">
        <f>IF(COUNT(F155,G155,H155)=3,F155+H155-G155,"n/d")</f>
        <v>-1203</v>
      </c>
      <c r="K155" s="1" t="s">
        <v>496</v>
      </c>
    </row>
    <row r="156" spans="1:11">
      <c r="A156" s="1" t="s">
        <v>497</v>
      </c>
      <c r="B156" s="3">
        <v>-566</v>
      </c>
      <c r="C156" s="3">
        <v>-1027</v>
      </c>
      <c r="D156" s="3">
        <v>-1161</v>
      </c>
      <c r="E156" s="3">
        <v>-402</v>
      </c>
      <c r="F156" s="3">
        <v>-1055</v>
      </c>
      <c r="G156" s="3">
        <v>-979</v>
      </c>
      <c r="H156" s="3">
        <v>-974</v>
      </c>
      <c r="I156" s="3">
        <v>-552</v>
      </c>
      <c r="J156" s="6">
        <f>IF(COUNT(F156,G156,H156)=3,F156+H156-G156,"n/d")</f>
        <v>-1050</v>
      </c>
      <c r="K156" s="1" t="s">
        <v>498</v>
      </c>
    </row>
    <row r="157" spans="1:11">
      <c r="A157" s="1" t="s">
        <v>499</v>
      </c>
      <c r="B157" s="3">
        <v>917</v>
      </c>
      <c r="C157" s="3">
        <v>2075</v>
      </c>
      <c r="D157" s="3">
        <v>4016</v>
      </c>
      <c r="E157" s="3">
        <v>1508</v>
      </c>
      <c r="F157" s="3">
        <v>3418</v>
      </c>
      <c r="G157" s="3">
        <v>2096</v>
      </c>
      <c r="H157" s="3">
        <v>2753</v>
      </c>
      <c r="I157" s="3">
        <v>1806</v>
      </c>
      <c r="J157" s="6">
        <f>IF(COUNT(F157,G157,H157)=3,F157+H157-G157,"n/d")</f>
        <v>4075</v>
      </c>
      <c r="K157" s="1" t="s">
        <v>500</v>
      </c>
    </row>
    <row r="158" spans="1:11">
      <c r="A158" s="1" t="s">
        <v>501</v>
      </c>
      <c r="B158" s="3">
        <v>1372</v>
      </c>
      <c r="C158" s="3">
        <v>846</v>
      </c>
      <c r="D158" s="3">
        <v>2322</v>
      </c>
      <c r="E158" s="3">
        <v>1872</v>
      </c>
      <c r="F158" s="3">
        <v>2773</v>
      </c>
      <c r="G158" s="3">
        <v>1329</v>
      </c>
      <c r="H158" s="3">
        <v>-688</v>
      </c>
      <c r="I158" s="3">
        <v>-980</v>
      </c>
      <c r="J158" s="6">
        <f>IF(COUNT(F158,G158,H158)=3,F158+H158-G158,"n/d")</f>
        <v>756</v>
      </c>
      <c r="K158" s="1" t="s">
        <v>502</v>
      </c>
    </row>
    <row r="159" spans="1:11">
      <c r="A159" s="1" t="s">
        <v>503</v>
      </c>
      <c r="B159" s="3">
        <v>-871</v>
      </c>
      <c r="C159" s="3">
        <v>-133</v>
      </c>
      <c r="D159" s="3">
        <v>48</v>
      </c>
      <c r="E159" s="3">
        <v>-135</v>
      </c>
      <c r="F159" s="3">
        <v>-476</v>
      </c>
      <c r="G159" s="3">
        <v>-406</v>
      </c>
      <c r="H159" s="3">
        <v>271</v>
      </c>
      <c r="I159" s="3">
        <v>240</v>
      </c>
      <c r="J159" s="6">
        <f>IF(COUNT(F159,G159,H159)=3,F159+H159-G159,"n/d")</f>
        <v>201</v>
      </c>
      <c r="K159" s="1" t="s">
        <v>504</v>
      </c>
    </row>
    <row r="160" spans="1:11">
      <c r="A160" s="7" t="s">
        <v>505</v>
      </c>
      <c r="B160" s="9">
        <f>SUM(B146:B159)</f>
        <v>7142</v>
      </c>
      <c r="C160" s="9">
        <f>SUM(C146:C159)</f>
        <v>7168</v>
      </c>
      <c r="D160" s="9">
        <f>SUM(D146:D159)</f>
        <v>7883</v>
      </c>
      <c r="E160" s="9">
        <f>SUM(E146:E159)</f>
        <v>7159</v>
      </c>
      <c r="F160" s="9">
        <f>SUM(F146:F159)</f>
        <v>10567</v>
      </c>
      <c r="G160" s="9">
        <f>SUM(G146:G159)</f>
        <v>6402</v>
      </c>
      <c r="H160" s="9">
        <f>SUM(H146:H159)</f>
        <v>8270</v>
      </c>
      <c r="I160" s="9">
        <f>SUM(I146:I159)</f>
        <v>2868</v>
      </c>
      <c r="J160" s="9">
        <f>SUM(J146:J159)</f>
        <v>12435</v>
      </c>
      <c r="K160" s="7" t="s">
        <v>506</v>
      </c>
    </row>
    <row r="161" spans="1:11">
      <c r="A161" s="1" t="s">
        <v>507</v>
      </c>
      <c r="B161" s="3">
        <v>-2134</v>
      </c>
      <c r="C161" s="3">
        <v>-2288</v>
      </c>
      <c r="D161" s="3">
        <v>-2415</v>
      </c>
      <c r="E161" s="3">
        <v>-2625</v>
      </c>
      <c r="F161" s="3">
        <v>-2627</v>
      </c>
      <c r="G161" s="3">
        <v>-1657</v>
      </c>
      <c r="H161" s="3">
        <v>-1964</v>
      </c>
      <c r="I161" s="3">
        <v>-749</v>
      </c>
      <c r="J161" s="6">
        <f>IF(COUNT(F161,G161,H161)=3,F161+H161-G161,"n/d")</f>
        <v>-2934</v>
      </c>
      <c r="K161" s="1" t="s">
        <v>508</v>
      </c>
    </row>
    <row r="162" spans="1:11">
      <c r="A162" s="1" t="s">
        <v>509</v>
      </c>
      <c r="B162" s="3">
        <v>-231</v>
      </c>
      <c r="C162" s="3">
        <v>-150</v>
      </c>
      <c r="D162" s="3">
        <v>-117</v>
      </c>
      <c r="E162" s="3">
        <v>-218</v>
      </c>
      <c r="F162" s="3">
        <v>-233</v>
      </c>
      <c r="G162" s="3">
        <v>0</v>
      </c>
      <c r="H162" s="3">
        <v>0</v>
      </c>
      <c r="I162" s="3">
        <v>0</v>
      </c>
      <c r="J162" s="6">
        <f>IF(COUNT(F162,G162,H162)=3,F162+H162-G162,"n/d")</f>
        <v>-233</v>
      </c>
      <c r="K162" s="1" t="s">
        <v>510</v>
      </c>
    </row>
    <row r="163" spans="1:11">
      <c r="A163" s="1" t="s">
        <v>511</v>
      </c>
      <c r="B163" s="3">
        <v>389</v>
      </c>
      <c r="C163" s="3">
        <v>179</v>
      </c>
      <c r="D163" s="3">
        <v>212</v>
      </c>
      <c r="E163" s="3">
        <v>202</v>
      </c>
      <c r="F163" s="3">
        <v>161</v>
      </c>
      <c r="G163" s="3">
        <v>0</v>
      </c>
      <c r="H163" s="3">
        <v>0</v>
      </c>
      <c r="I163" s="3">
        <v>0</v>
      </c>
      <c r="J163" s="6">
        <f>IF(COUNT(F163,G163,H163)=3,F163+H163-G163,"n/d")</f>
        <v>161</v>
      </c>
      <c r="K163" s="1" t="s">
        <v>512</v>
      </c>
    </row>
    <row r="164" spans="1:11">
      <c r="A164" s="1" t="s">
        <v>513</v>
      </c>
      <c r="B164" s="3">
        <v>-1088</v>
      </c>
      <c r="C164" s="3">
        <v>-66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6">
        <f>IF(COUNT(F164,G164,H164)=3,F164+H164-G164,"n/d")</f>
        <v>0</v>
      </c>
      <c r="K164" s="1" t="s">
        <v>514</v>
      </c>
    </row>
    <row r="165" spans="1:11">
      <c r="A165" s="1" t="s">
        <v>515</v>
      </c>
      <c r="B165" s="3">
        <v>1879</v>
      </c>
      <c r="C165" s="3">
        <v>94</v>
      </c>
      <c r="D165" s="3">
        <v>6</v>
      </c>
      <c r="E165" s="3">
        <v>1795</v>
      </c>
      <c r="F165" s="3">
        <v>1931</v>
      </c>
      <c r="G165" s="3">
        <v>1188</v>
      </c>
      <c r="H165" s="3">
        <v>0</v>
      </c>
      <c r="I165" s="3">
        <v>0</v>
      </c>
      <c r="J165" s="6">
        <f>IF(COUNT(F165,G165,H165)=3,F165+H165-G165,"n/d")</f>
        <v>743</v>
      </c>
      <c r="K165" s="1" t="s">
        <v>516</v>
      </c>
    </row>
    <row r="166" spans="1:11">
      <c r="A166" s="1" t="s">
        <v>517</v>
      </c>
      <c r="B166" s="3">
        <v>-308</v>
      </c>
      <c r="C166" s="3">
        <v>-487</v>
      </c>
      <c r="D166" s="3">
        <v>-751</v>
      </c>
      <c r="E166" s="3">
        <v>-611</v>
      </c>
      <c r="F166" s="3">
        <v>-492</v>
      </c>
      <c r="G166" s="3">
        <v>-347</v>
      </c>
      <c r="H166" s="3">
        <v>-229</v>
      </c>
      <c r="I166" s="3">
        <v>-73</v>
      </c>
      <c r="J166" s="6">
        <f>IF(COUNT(F166,G166,H166)=3,F166+H166-G166,"n/d")</f>
        <v>-374</v>
      </c>
      <c r="K166" s="1" t="s">
        <v>518</v>
      </c>
    </row>
    <row r="167" spans="1:11">
      <c r="A167" s="1" t="s">
        <v>519</v>
      </c>
      <c r="B167" s="3">
        <v>-16</v>
      </c>
      <c r="C167" s="3">
        <v>-205</v>
      </c>
      <c r="D167" s="3">
        <v>14</v>
      </c>
      <c r="E167" s="3">
        <v>-142</v>
      </c>
      <c r="F167" s="3">
        <v>118</v>
      </c>
      <c r="G167" s="3">
        <v>187</v>
      </c>
      <c r="H167" s="3">
        <v>8</v>
      </c>
      <c r="I167" s="3">
        <v>7</v>
      </c>
      <c r="J167" s="6">
        <f>IF(COUNT(F167,G167,H167)=3,F167+H167-G167,"n/d")</f>
        <v>-61</v>
      </c>
      <c r="K167" s="1" t="s">
        <v>520</v>
      </c>
    </row>
    <row r="168" spans="1:11">
      <c r="A168" s="1" t="s">
        <v>521</v>
      </c>
      <c r="B168" s="3">
        <v>145</v>
      </c>
      <c r="C168" s="3">
        <v>94</v>
      </c>
      <c r="D168" s="3">
        <v>12</v>
      </c>
      <c r="E168" s="3">
        <v>65</v>
      </c>
      <c r="F168" s="3">
        <v>-123</v>
      </c>
      <c r="G168" s="3">
        <v>-87</v>
      </c>
      <c r="H168" s="3">
        <v>-224</v>
      </c>
      <c r="I168" s="3">
        <v>-42</v>
      </c>
      <c r="J168" s="6">
        <f>IF(COUNT(F168,G168,H168)=3,F168+H168-G168,"n/d")</f>
        <v>-260</v>
      </c>
      <c r="K168" s="1" t="s">
        <v>522</v>
      </c>
    </row>
    <row r="169" spans="1:11">
      <c r="A169" s="7" t="s">
        <v>523</v>
      </c>
      <c r="B169" s="9">
        <f>SUM(B161:B168)</f>
        <v>-1364</v>
      </c>
      <c r="C169" s="9">
        <f>SUM(C161:C168)</f>
        <v>-2829</v>
      </c>
      <c r="D169" s="9">
        <f>SUM(D161:D168)</f>
        <v>-3039</v>
      </c>
      <c r="E169" s="9">
        <f>SUM(E161:E168)</f>
        <v>-1534</v>
      </c>
      <c r="F169" s="9">
        <f>SUM(F161:F168)</f>
        <v>-1265</v>
      </c>
      <c r="G169" s="9">
        <f>SUM(G161:G168)</f>
        <v>-716</v>
      </c>
      <c r="H169" s="9">
        <f>SUM(H161:H168)</f>
        <v>-2409</v>
      </c>
      <c r="I169" s="9">
        <f>SUM(I161:I168)</f>
        <v>-857</v>
      </c>
      <c r="J169" s="9">
        <f>SUM(J161:J168)</f>
        <v>-2958</v>
      </c>
      <c r="K169" s="7" t="s">
        <v>283</v>
      </c>
    </row>
    <row r="170" spans="1:11">
      <c r="A170" s="1" t="s">
        <v>524</v>
      </c>
      <c r="B170" s="3">
        <v>4062</v>
      </c>
      <c r="C170" s="3">
        <v>1</v>
      </c>
      <c r="D170" s="3">
        <v>22914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6">
        <f>IF(COUNT(F170,G170,H170)=3,F170+H170-G170,"n/d")</f>
        <v>0</v>
      </c>
      <c r="K170" s="1" t="s">
        <v>525</v>
      </c>
    </row>
    <row r="171" spans="1:11">
      <c r="A171" s="1" t="s">
        <v>526</v>
      </c>
      <c r="B171" s="3">
        <v>-4254</v>
      </c>
      <c r="C171" s="3">
        <v>-3</v>
      </c>
      <c r="D171" s="3">
        <v>-10578</v>
      </c>
      <c r="E171" s="3">
        <v>-2500</v>
      </c>
      <c r="F171" s="3">
        <v>-3429</v>
      </c>
      <c r="G171" s="3">
        <v>-2289</v>
      </c>
      <c r="H171" s="3">
        <v>-526</v>
      </c>
      <c r="I171" s="3">
        <v>-2</v>
      </c>
      <c r="J171" s="6">
        <f>IF(COUNT(F171,G171,H171)=3,F171+H171-G171,"n/d")</f>
        <v>-1666</v>
      </c>
      <c r="K171" s="1" t="s">
        <v>527</v>
      </c>
    </row>
    <row r="172" spans="1:11">
      <c r="A172" s="1" t="s">
        <v>278</v>
      </c>
      <c r="B172" s="3">
        <v>-649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6">
        <f>IF(COUNT(F172,G172,H172)=3,F172+H172-G172,"n/d")</f>
        <v>0</v>
      </c>
      <c r="K172" s="1" t="s">
        <v>528</v>
      </c>
    </row>
    <row r="173" spans="1:11">
      <c r="A173" s="1" t="s">
        <v>529</v>
      </c>
      <c r="B173" s="3">
        <v>-113</v>
      </c>
      <c r="C173" s="3">
        <v>489</v>
      </c>
      <c r="D173" s="3">
        <v>-524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6">
        <f>IF(COUNT(F173,G173,H173)=3,F173+H173-G173,"n/d")</f>
        <v>0</v>
      </c>
      <c r="K173" s="1" t="s">
        <v>530</v>
      </c>
    </row>
    <row r="174" spans="1:11">
      <c r="A174" s="1" t="s">
        <v>531</v>
      </c>
      <c r="B174" s="3">
        <v>-2957</v>
      </c>
      <c r="C174" s="3">
        <v>-3128</v>
      </c>
      <c r="D174" s="3">
        <v>-3239</v>
      </c>
      <c r="E174" s="3">
        <v>-3217</v>
      </c>
      <c r="F174" s="3">
        <v>-3574</v>
      </c>
      <c r="G174" s="3">
        <v>-2660</v>
      </c>
      <c r="H174" s="3">
        <v>-2882</v>
      </c>
      <c r="I174" s="3">
        <v>-984</v>
      </c>
      <c r="J174" s="6">
        <f>IF(COUNT(F174,G174,H174)=3,F174+H174-G174,"n/d")</f>
        <v>-3796</v>
      </c>
      <c r="K174" s="1" t="s">
        <v>532</v>
      </c>
    </row>
    <row r="175" spans="1:11">
      <c r="A175" s="1" t="s">
        <v>533</v>
      </c>
      <c r="B175" s="3">
        <v>-2327</v>
      </c>
      <c r="C175" s="3">
        <v>-2803</v>
      </c>
      <c r="D175" s="3">
        <v>-12870</v>
      </c>
      <c r="E175" s="3">
        <v>-444</v>
      </c>
      <c r="F175" s="3">
        <v>-50</v>
      </c>
      <c r="G175" s="3">
        <v>-50</v>
      </c>
      <c r="H175" s="3">
        <v>0</v>
      </c>
      <c r="I175" s="3">
        <v>0</v>
      </c>
      <c r="J175" s="6">
        <f>IF(COUNT(F175,G175,H175)=3,F175+H175-G175,"n/d")</f>
        <v>0</v>
      </c>
      <c r="K175" s="1" t="s">
        <v>534</v>
      </c>
    </row>
    <row r="176" spans="1:11">
      <c r="A176" s="1" t="s">
        <v>535</v>
      </c>
      <c r="B176" s="3">
        <v>-518</v>
      </c>
      <c r="C176" s="3">
        <v>-415</v>
      </c>
      <c r="D176" s="3">
        <v>-230</v>
      </c>
      <c r="E176" s="3">
        <v>-456</v>
      </c>
      <c r="F176" s="3">
        <v>-433</v>
      </c>
      <c r="G176" s="3">
        <v>-333</v>
      </c>
      <c r="H176" s="3">
        <v>-677</v>
      </c>
      <c r="I176" s="3">
        <v>-190</v>
      </c>
      <c r="J176" s="6">
        <f>IF(COUNT(F176,G176,H176)=3,F176+H176-G176,"n/d")</f>
        <v>-777</v>
      </c>
      <c r="K176" s="1" t="s">
        <v>536</v>
      </c>
    </row>
    <row r="177" spans="1:11">
      <c r="A177" s="7" t="s">
        <v>537</v>
      </c>
      <c r="B177" s="9">
        <f>SUM(B170:B176)</f>
        <v>-6756</v>
      </c>
      <c r="C177" s="9">
        <f>SUM(C170:C176)</f>
        <v>-5859</v>
      </c>
      <c r="D177" s="9">
        <f>SUM(D170:D176)</f>
        <v>-4527</v>
      </c>
      <c r="E177" s="9">
        <f>SUM(E170:E176)</f>
        <v>-6617</v>
      </c>
      <c r="F177" s="9">
        <f>SUM(F170:F176)</f>
        <v>-7486</v>
      </c>
      <c r="G177" s="9">
        <f>SUM(G170:G176)</f>
        <v>-5332</v>
      </c>
      <c r="H177" s="9">
        <f>SUM(H170:H176)</f>
        <v>-4085</v>
      </c>
      <c r="I177" s="9">
        <f>SUM(I170:I176)</f>
        <v>-1176</v>
      </c>
      <c r="J177" s="9">
        <f>SUM(J170:J176)</f>
        <v>-6239</v>
      </c>
      <c r="K177" s="7" t="s">
        <v>283</v>
      </c>
    </row>
    <row r="178" spans="1:11">
      <c r="A178" s="1" t="s">
        <v>538</v>
      </c>
      <c r="B178" s="3">
        <v>-1</v>
      </c>
      <c r="C178" s="3">
        <v>-42</v>
      </c>
      <c r="D178" s="3">
        <v>18</v>
      </c>
      <c r="E178" s="3">
        <v>-28</v>
      </c>
      <c r="F178" s="3">
        <v>48</v>
      </c>
      <c r="G178" s="3">
        <v>44</v>
      </c>
      <c r="H178" s="3">
        <v>-16</v>
      </c>
      <c r="I178" s="3">
        <v>3</v>
      </c>
      <c r="J178" s="6">
        <f>IF(COUNT(F178,G178,H178)=3,F178+H178-G178,"n/d")</f>
        <v>-12</v>
      </c>
      <c r="K178" s="1" t="s">
        <v>539</v>
      </c>
    </row>
    <row r="179" spans="1:11">
      <c r="A179" s="1" t="s">
        <v>540</v>
      </c>
      <c r="B179" s="12">
        <f>B160+B169+B177+B178</f>
        <v>-979</v>
      </c>
      <c r="C179" s="12">
        <f>C160+C169+C177+C178</f>
        <v>-1562</v>
      </c>
      <c r="D179" s="12">
        <f>D160+D169+D177+D178</f>
        <v>335</v>
      </c>
      <c r="E179" s="12">
        <f>E160+E169+E177+E178</f>
        <v>-1020</v>
      </c>
      <c r="F179" s="12">
        <f>F160+F169+F177+F178</f>
        <v>1864</v>
      </c>
      <c r="G179" s="12">
        <f>G160+G169+G177+G178</f>
        <v>398</v>
      </c>
      <c r="H179" s="12">
        <f>H160+H169+H177+H178</f>
        <v>1760</v>
      </c>
      <c r="I179" s="12">
        <f>I160+I169+I177+I178</f>
        <v>838</v>
      </c>
      <c r="J179" s="12">
        <f>J160+J169+J177+J178</f>
        <v>3226</v>
      </c>
      <c r="K179" s="1" t="s">
        <v>283</v>
      </c>
    </row>
    <row r="180" spans="1:11">
      <c r="A180" s="1" t="s">
        <v>541</v>
      </c>
      <c r="B180" s="3">
        <v>8832</v>
      </c>
      <c r="C180" s="3">
        <v>7853</v>
      </c>
      <c r="D180" s="3">
        <v>6291</v>
      </c>
      <c r="E180" s="3">
        <v>6626</v>
      </c>
      <c r="F180" s="3">
        <v>5606</v>
      </c>
      <c r="G180" s="3">
        <v>5606</v>
      </c>
      <c r="H180" s="3">
        <v>7470</v>
      </c>
      <c r="I180" s="3">
        <v>8392</v>
      </c>
      <c r="J180" s="6">
        <f>G180</f>
        <v>5606</v>
      </c>
      <c r="K180" s="1" t="s">
        <v>542</v>
      </c>
    </row>
    <row r="181" spans="1:11">
      <c r="A181" s="1" t="s">
        <v>543</v>
      </c>
      <c r="B181" s="6">
        <f>B180+B179</f>
        <v>7853</v>
      </c>
      <c r="C181" s="6">
        <f>C180+C179</f>
        <v>6291</v>
      </c>
      <c r="D181" s="6">
        <f>D180+D179</f>
        <v>6626</v>
      </c>
      <c r="E181" s="6">
        <f>E180+E179</f>
        <v>5606</v>
      </c>
      <c r="F181" s="6">
        <f>F180+F179</f>
        <v>7470</v>
      </c>
      <c r="G181" s="6">
        <f>G180+G179</f>
        <v>6004</v>
      </c>
      <c r="H181" s="6">
        <f>H180+H179</f>
        <v>9230</v>
      </c>
      <c r="I181" s="6">
        <f>I180+I179</f>
        <v>9230</v>
      </c>
      <c r="J181" s="6">
        <f>I181</f>
        <v>9230</v>
      </c>
      <c r="K181" s="1" t="s">
        <v>283</v>
      </c>
    </row>
    <row r="182" spans="1:11">
      <c r="A182" s="1" t="s">
        <v>544</v>
      </c>
      <c r="B182" s="3">
        <v>21</v>
      </c>
      <c r="C182" s="3">
        <v>71</v>
      </c>
      <c r="D182" s="3">
        <v>39</v>
      </c>
      <c r="E182" s="3">
        <v>28</v>
      </c>
      <c r="F182" s="3">
        <v>35</v>
      </c>
      <c r="G182" s="3">
        <v>38</v>
      </c>
      <c r="H182" s="3">
        <v>57</v>
      </c>
      <c r="I182" s="3">
        <v>57</v>
      </c>
      <c r="J182" s="6">
        <f>I182</f>
        <v>57</v>
      </c>
      <c r="K182" s="1" t="s">
        <v>545</v>
      </c>
    </row>
    <row r="183" spans="1:11">
      <c r="A183" s="7" t="s">
        <v>546</v>
      </c>
      <c r="B183" s="14">
        <f>B181-B182</f>
        <v>7832</v>
      </c>
      <c r="C183" s="14">
        <f>C181-C182</f>
        <v>6220</v>
      </c>
      <c r="D183" s="14">
        <f>D181-D182</f>
        <v>6587</v>
      </c>
      <c r="E183" s="14">
        <f>E181-E182</f>
        <v>5578</v>
      </c>
      <c r="F183" s="14">
        <f>F181-F182</f>
        <v>7435</v>
      </c>
      <c r="G183" s="14">
        <f>G181-G182</f>
        <v>5966</v>
      </c>
      <c r="H183" s="14">
        <f>H181-H182</f>
        <v>9173</v>
      </c>
      <c r="I183" s="14">
        <f>I181-I182</f>
        <v>9173</v>
      </c>
      <c r="J183" s="14">
        <f>J181-J182</f>
        <v>9173</v>
      </c>
      <c r="K183" s="7" t="s">
        <v>547</v>
      </c>
    </row>
    <row r="184" spans="1:11">
      <c r="A184" s="7" t="s">
        <v>548</v>
      </c>
      <c r="B184" s="14">
        <f>B160+B161</f>
        <v>5008</v>
      </c>
      <c r="C184" s="14">
        <f>C160+C161</f>
        <v>4880</v>
      </c>
      <c r="D184" s="14">
        <f>D160+D161</f>
        <v>5468</v>
      </c>
      <c r="E184" s="14">
        <f>E160+E161</f>
        <v>4534</v>
      </c>
      <c r="F184" s="14">
        <f>F160+F161</f>
        <v>7940</v>
      </c>
      <c r="G184" s="14">
        <f>G160+G161</f>
        <v>4745</v>
      </c>
      <c r="H184" s="14">
        <f>H160+H161</f>
        <v>6306</v>
      </c>
      <c r="I184" s="14">
        <f>I160+I161</f>
        <v>2119</v>
      </c>
      <c r="J184" s="14">
        <f>J160+J161</f>
        <v>9501</v>
      </c>
      <c r="K184" s="7" t="s">
        <v>549</v>
      </c>
    </row>
    <row r="186" spans="1:11">
      <c r="A186" s="2" t="s">
        <v>550</v>
      </c>
      <c r="B186" s="29"/>
      <c r="C186" s="29"/>
      <c r="D186" s="29"/>
      <c r="E186" s="29"/>
      <c r="F186" s="29"/>
      <c r="G186" s="29"/>
      <c r="H186" s="29"/>
      <c r="I186" s="29"/>
      <c r="J186" s="29"/>
      <c r="K186" s="30"/>
    </row>
    <row r="187" spans="1:11" ht="81">
      <c r="A187" s="1" t="s">
        <v>551</v>
      </c>
      <c r="B187" s="27">
        <f>B107/B9*365</f>
        <v>54.765872522830335</v>
      </c>
      <c r="C187" s="27">
        <f>C107/C9*365</f>
        <v>49.563467215314432</v>
      </c>
      <c r="D187" s="27">
        <f>D107/D9*365</f>
        <v>57.397997678467789</v>
      </c>
      <c r="E187" s="27">
        <f>E107/E9*365</f>
        <v>49.620253164556964</v>
      </c>
      <c r="F187" s="27">
        <f>F107/F9*365</f>
        <v>60.560759793686444</v>
      </c>
      <c r="G187" s="27"/>
      <c r="H187" s="27"/>
      <c r="I187" s="27"/>
      <c r="J187" s="27">
        <f>J107/J9*365</f>
        <v>55.825945180076467</v>
      </c>
      <c r="K187" s="163" t="s">
        <v>552</v>
      </c>
    </row>
    <row r="188" spans="1:11">
      <c r="A188" s="1" t="s">
        <v>182</v>
      </c>
      <c r="B188" s="15">
        <f>B108/B9</f>
        <v>0.17644592160029821</v>
      </c>
      <c r="C188" s="15">
        <f>C108/C9</f>
        <v>0.17195932850284759</v>
      </c>
      <c r="D188" s="15">
        <f>D108/D9</f>
        <v>0.17613174695298897</v>
      </c>
      <c r="E188" s="15">
        <f>E108/E9</f>
        <v>0.18046025415541628</v>
      </c>
      <c r="F188" s="15">
        <f>F108/F9</f>
        <v>0.19290543209597869</v>
      </c>
      <c r="G188" s="15"/>
      <c r="H188" s="15"/>
      <c r="I188" s="15"/>
      <c r="J188" s="15">
        <f>J108/J9</f>
        <v>0.19482846635481887</v>
      </c>
      <c r="K188" s="163" t="s">
        <v>265</v>
      </c>
    </row>
    <row r="189" spans="1:11" ht="30.75">
      <c r="A189" s="1" t="s">
        <v>553</v>
      </c>
      <c r="B189" s="27">
        <f>B109/B13*365</f>
        <v>64.550359365666608</v>
      </c>
      <c r="C189" s="27">
        <f>C109/C13*365</f>
        <v>72.561229075384787</v>
      </c>
      <c r="D189" s="27">
        <f>D109/D13*365</f>
        <v>75.638383980573977</v>
      </c>
      <c r="E189" s="27">
        <f>E109/E13*365</f>
        <v>71.337252020573118</v>
      </c>
      <c r="F189" s="27">
        <f>F109/F13*365</f>
        <v>68.882706809387969</v>
      </c>
      <c r="G189" s="27"/>
      <c r="H189" s="27"/>
      <c r="I189" s="27"/>
      <c r="J189" s="27">
        <f>J109/J13*365</f>
        <v>72.062174865985369</v>
      </c>
      <c r="K189" s="163" t="s">
        <v>554</v>
      </c>
    </row>
    <row r="190" spans="1:11" ht="41.25">
      <c r="A190" s="1" t="s">
        <v>555</v>
      </c>
      <c r="B190" s="27">
        <f>B120/B13*365</f>
        <v>61.54719926007283</v>
      </c>
      <c r="C190" s="27">
        <f>C120/C13*365</f>
        <v>67.633599221061303</v>
      </c>
      <c r="D190" s="27">
        <f>D120/D13*365</f>
        <v>68.708451373370167</v>
      </c>
      <c r="E190" s="27">
        <f>E120/E13*365</f>
        <v>72.05799963262308</v>
      </c>
      <c r="F190" s="27">
        <f>F120/F13*365</f>
        <v>81.92836162340781</v>
      </c>
      <c r="G190" s="27"/>
      <c r="H190" s="27"/>
      <c r="I190" s="27"/>
      <c r="J190" s="27">
        <f>J120/J13*365</f>
        <v>85.797023950988944</v>
      </c>
      <c r="K190" s="163" t="s">
        <v>556</v>
      </c>
    </row>
    <row r="191" spans="1:11">
      <c r="A191" s="1" t="s">
        <v>185</v>
      </c>
      <c r="B191" s="15">
        <f>B123/B9</f>
        <v>0.21308318320183886</v>
      </c>
      <c r="C191" s="15">
        <f>C123/C9</f>
        <v>0.21764021826639235</v>
      </c>
      <c r="D191" s="15">
        <f>D123/D9</f>
        <v>0.24931804991294254</v>
      </c>
      <c r="E191" s="15">
        <f>E123/E9</f>
        <v>0.23057296440337882</v>
      </c>
      <c r="F191" s="15">
        <f>F123/F9</f>
        <v>0.24395336501021411</v>
      </c>
      <c r="G191" s="15"/>
      <c r="H191" s="15"/>
      <c r="I191" s="15"/>
      <c r="J191" s="15">
        <f>J123/J9</f>
        <v>0.22450956900413599</v>
      </c>
      <c r="K191" s="163" t="s">
        <v>265</v>
      </c>
    </row>
    <row r="192" spans="1:11">
      <c r="A192" s="1" t="s">
        <v>186</v>
      </c>
      <c r="B192" s="15">
        <f>B110/B9</f>
        <v>6.2402932223395664E-2</v>
      </c>
      <c r="C192" s="15">
        <f>C110/C9</f>
        <v>7.4007812267048334E-2</v>
      </c>
      <c r="D192" s="15">
        <f>D110/D9</f>
        <v>0.10266976204294835</v>
      </c>
      <c r="E192" s="15">
        <f>E110/E9</f>
        <v>8.9685154450196938E-2</v>
      </c>
      <c r="F192" s="15">
        <f>F110/F9</f>
        <v>8.7355958601853204E-2</v>
      </c>
      <c r="G192" s="15"/>
      <c r="H192" s="15"/>
      <c r="I192" s="15"/>
      <c r="J192" s="15">
        <f>J110/J9</f>
        <v>8.9189161032223116E-2</v>
      </c>
      <c r="K192" s="163" t="s">
        <v>265</v>
      </c>
    </row>
    <row r="193" spans="1:11">
      <c r="A193" s="1" t="s">
        <v>187</v>
      </c>
      <c r="B193" s="15">
        <f>(B121+B122)/B9</f>
        <v>0.19910542337081444</v>
      </c>
      <c r="C193" s="15">
        <f>(C121+C122)/C9</f>
        <v>0.19977934818260429</v>
      </c>
      <c r="D193" s="15">
        <f>(D121+D122)/D9</f>
        <v>0.25258270458502613</v>
      </c>
      <c r="E193" s="15">
        <f>(E121+E122)/E9</f>
        <v>0.21614357551586613</v>
      </c>
      <c r="F193" s="15">
        <f>(F121+F122)/F9</f>
        <v>0.19929347764748373</v>
      </c>
      <c r="G193" s="15"/>
      <c r="H193" s="15"/>
      <c r="I193" s="15"/>
      <c r="J193" s="15">
        <f>(J121+J122)/J9</f>
        <v>0.18706699865606802</v>
      </c>
      <c r="K193" s="163" t="s">
        <v>265</v>
      </c>
    </row>
    <row r="194" spans="1:11">
      <c r="A194" s="1" t="s">
        <v>188</v>
      </c>
      <c r="B194" s="15">
        <f>B112/B9</f>
        <v>4.4231844443063925E-2</v>
      </c>
      <c r="C194" s="15">
        <f>C112/C9</f>
        <v>3.8807883829799925E-2</v>
      </c>
      <c r="D194" s="15">
        <f>D112/D9</f>
        <v>3.4706906558328497E-2</v>
      </c>
      <c r="E194" s="15">
        <f>E112/E9</f>
        <v>2.7818375486140356E-2</v>
      </c>
      <c r="F194" s="15">
        <f>F112/F9</f>
        <v>2.4062390663973005E-2</v>
      </c>
      <c r="G194" s="15"/>
      <c r="H194" s="15"/>
      <c r="I194" s="15"/>
      <c r="J194" s="15">
        <f>J112/J9</f>
        <v>1.9585985602216967E-2</v>
      </c>
      <c r="K194" s="163" t="s">
        <v>265</v>
      </c>
    </row>
    <row r="195" spans="1:11">
      <c r="A195" s="1" t="s">
        <v>557</v>
      </c>
      <c r="B195" s="15">
        <f>B117/B9</f>
        <v>0.10287631235633969</v>
      </c>
      <c r="C195" s="15">
        <f>C117/C9</f>
        <v>9.1779228911351637E-2</v>
      </c>
      <c r="D195" s="15">
        <f>D117/D9</f>
        <v>6.6395821242019731E-2</v>
      </c>
      <c r="E195" s="15">
        <f>E117/E9</f>
        <v>6.5607272907428973E-2</v>
      </c>
      <c r="F195" s="15">
        <f>F117/F9</f>
        <v>5.2729591548818885E-2</v>
      </c>
      <c r="G195" s="15"/>
      <c r="H195" s="15"/>
      <c r="I195" s="15"/>
      <c r="J195" s="15">
        <f>J117/J9</f>
        <v>6.2727244314334227E-2</v>
      </c>
      <c r="K195" s="163" t="s">
        <v>265</v>
      </c>
    </row>
    <row r="196" spans="1:11">
      <c r="A196" s="1" t="s">
        <v>190</v>
      </c>
      <c r="B196" s="15">
        <f>B129/B9</f>
        <v>0.16178480462197925</v>
      </c>
      <c r="C196" s="15">
        <f>C129/C9</f>
        <v>0.12596535170110623</v>
      </c>
      <c r="D196" s="15">
        <f>D129/D9</f>
        <v>0.10898142774230993</v>
      </c>
      <c r="E196" s="15">
        <f>E129/E9</f>
        <v>8.5981817731427587E-2</v>
      </c>
      <c r="F196" s="15">
        <f>F129/F9</f>
        <v>8.1261356838933221E-2</v>
      </c>
      <c r="G196" s="15"/>
      <c r="H196" s="15"/>
      <c r="I196" s="15"/>
      <c r="J196" s="15">
        <f>J129/J9</f>
        <v>7.821892547949201E-2</v>
      </c>
      <c r="K196" s="163" t="s">
        <v>265</v>
      </c>
    </row>
    <row r="197" spans="1:11">
      <c r="A197" s="1" t="s">
        <v>191</v>
      </c>
      <c r="B197" s="15">
        <f>B114/B9</f>
        <v>3.0409393054606448E-2</v>
      </c>
      <c r="C197" s="15">
        <f>C114/C9</f>
        <v>2.7268390136267407E-2</v>
      </c>
      <c r="D197" s="15">
        <f>D114/D9</f>
        <v>2.3766686012768427E-2</v>
      </c>
      <c r="E197" s="15">
        <f>E114/E9</f>
        <v>2.3087022220020313E-2</v>
      </c>
      <c r="F197" s="15">
        <f>F114/F9</f>
        <v>2.1297247271537083E-2</v>
      </c>
      <c r="G197" s="15"/>
      <c r="H197" s="15"/>
      <c r="I197" s="15"/>
      <c r="J197" s="15">
        <f>J114/J9</f>
        <v>1.8439997082938316E-2</v>
      </c>
      <c r="K197" s="163" t="s">
        <v>265</v>
      </c>
    </row>
    <row r="198" spans="1:11">
      <c r="A198" s="1" t="s">
        <v>192</v>
      </c>
      <c r="B198" s="15">
        <f>B127/B9</f>
        <v>2.5734608933341615E-2</v>
      </c>
      <c r="C198" s="15">
        <f>C127/C9</f>
        <v>2.3645525837135105E-2</v>
      </c>
      <c r="D198" s="15">
        <f>D127/D9</f>
        <v>2.048752176436448E-2</v>
      </c>
      <c r="E198" s="15">
        <f>E127/E9</f>
        <v>2.0213530184052118E-2</v>
      </c>
      <c r="F198" s="15">
        <f>F127/F9</f>
        <v>1.808065189666264E-2</v>
      </c>
      <c r="G198" s="15"/>
      <c r="H198" s="15"/>
      <c r="I198" s="15"/>
      <c r="J198" s="15">
        <f>J127/J9</f>
        <v>1.5575025784741684E-2</v>
      </c>
      <c r="K198" s="163" t="s">
        <v>265</v>
      </c>
    </row>
    <row r="199" spans="1:11">
      <c r="A199" s="1" t="s">
        <v>174</v>
      </c>
      <c r="B199" s="15">
        <f>-B161/B9</f>
        <v>3.3142821643784556E-2</v>
      </c>
      <c r="C199" s="15">
        <f>-C161/C9</f>
        <v>3.4111578256850641E-2</v>
      </c>
      <c r="D199" s="15">
        <f>-D161/D9</f>
        <v>3.5040626813697039E-2</v>
      </c>
      <c r="E199" s="15">
        <f>-E161/E9</f>
        <v>3.2512571527657359E-2</v>
      </c>
      <c r="F199" s="15">
        <f>-F161/F9</f>
        <v>2.9649108946649662E-2</v>
      </c>
      <c r="G199" s="15">
        <f>-G161/G9</f>
        <v>2.5743804862891323E-2</v>
      </c>
      <c r="H199" s="15">
        <f>-H161/H9</f>
        <v>2.7373203807718575E-2</v>
      </c>
      <c r="I199" s="15">
        <f>-I161/I9</f>
        <v>3.0002002803925495E-2</v>
      </c>
      <c r="J199" s="15">
        <f>-J161/J9</f>
        <v>3.0566639232396053E-2</v>
      </c>
      <c r="K199" s="163" t="s">
        <v>265</v>
      </c>
    </row>
    <row r="200" spans="1:11">
      <c r="A200" s="1" t="s">
        <v>176</v>
      </c>
      <c r="B200" s="15">
        <f>-B166/B9</f>
        <v>4.7835000310616884E-3</v>
      </c>
      <c r="C200" s="15">
        <f>-C166/C9</f>
        <v>7.260637504845395E-3</v>
      </c>
      <c r="D200" s="15">
        <f>-D166/D9</f>
        <v>1.0896691816598955E-2</v>
      </c>
      <c r="E200" s="15">
        <f>-E166/E9</f>
        <v>7.5676880774851992E-3</v>
      </c>
      <c r="F200" s="15">
        <f>-F166/F9</f>
        <v>5.5528593839937702E-3</v>
      </c>
      <c r="G200" s="15">
        <f>-G166/G9</f>
        <v>5.3911287190243143E-3</v>
      </c>
      <c r="H200" s="15">
        <f>-H166/H9</f>
        <v>3.1916821140364326E-3</v>
      </c>
      <c r="I200" s="15">
        <f>-I166/I9</f>
        <v>2.9240937312237131E-3</v>
      </c>
      <c r="J200" s="15">
        <f>-J166/J9</f>
        <v>3.8963609655474178E-3</v>
      </c>
      <c r="K200" s="163" t="s">
        <v>265</v>
      </c>
    </row>
    <row r="201" spans="1:11">
      <c r="A201" s="1" t="s">
        <v>558</v>
      </c>
      <c r="B201" s="15">
        <f>B147/B9</f>
        <v>7.0774057277753613E-2</v>
      </c>
      <c r="C201" s="15">
        <f>C147/C9</f>
        <v>6.124578823389093E-2</v>
      </c>
      <c r="D201" s="15">
        <f>D147/D9</f>
        <v>6.1099825885084155E-2</v>
      </c>
      <c r="E201" s="15">
        <f>E147/E9</f>
        <v>5.4051376055884469E-2</v>
      </c>
      <c r="F201" s="15">
        <f>F147/F9</f>
        <v>4.9411419477895784E-2</v>
      </c>
      <c r="G201" s="15">
        <f>G147/G9</f>
        <v>5.0011652295502217E-2</v>
      </c>
      <c r="H201" s="15">
        <f>H147/H9</f>
        <v>4.4850799314276157E-2</v>
      </c>
      <c r="I201" s="15">
        <f>I147/I9</f>
        <v>4.2779891848588027E-2</v>
      </c>
      <c r="J201" s="15">
        <f>J147/J9</f>
        <v>4.5599924989842375E-2</v>
      </c>
      <c r="K201" s="163" t="s">
        <v>265</v>
      </c>
    </row>
    <row r="202" spans="1:11" ht="81">
      <c r="A202" s="1" t="s">
        <v>559</v>
      </c>
      <c r="B202" s="15">
        <f>(B64+B65+B66+B67)/B9</f>
        <v>3.1713983972168729E-2</v>
      </c>
      <c r="C202" s="15">
        <f>(C64+C65+C66+C67)/C9</f>
        <v>3.1413066165727407E-2</v>
      </c>
      <c r="D202" s="15">
        <f>(D64+D65+D66+D67)/D9</f>
        <v>3.090539756239118E-2</v>
      </c>
      <c r="E202" s="15">
        <f>(E64+E65+E66+E67)/E9</f>
        <v>2.7558274913919097E-2</v>
      </c>
      <c r="F202" s="15">
        <f>(F64+F65+F66+F67)/F9</f>
        <v>2.5902057492409963E-2</v>
      </c>
      <c r="G202" s="15"/>
      <c r="H202" s="15"/>
      <c r="I202" s="15"/>
      <c r="J202" s="15"/>
      <c r="K202" s="163" t="s">
        <v>560</v>
      </c>
    </row>
    <row r="203" spans="1:11">
      <c r="A203" s="1" t="s">
        <v>178</v>
      </c>
      <c r="B203" s="15">
        <f>(B149+B151)/B9</f>
        <v>6.8646331614586565E-3</v>
      </c>
      <c r="C203" s="15">
        <f>(C149+C151)/C9</f>
        <v>6.2617407639323731E-3</v>
      </c>
      <c r="D203" s="15">
        <f>(D149+D151)/D9</f>
        <v>9.9535693557748113E-3</v>
      </c>
      <c r="E203" s="15">
        <f>(E149+E151)/E9</f>
        <v>9.7847358121330719E-3</v>
      </c>
      <c r="F203" s="15">
        <f>(F149+F151)/F9</f>
        <v>1.2324639120571539E-2</v>
      </c>
      <c r="G203" s="15">
        <f>(G149+G151)/G9</f>
        <v>1.1994096170278879E-2</v>
      </c>
      <c r="H203" s="15">
        <f>(H149+H151)/H9</f>
        <v>1.294791565039234E-2</v>
      </c>
      <c r="I203" s="15">
        <f>(I149+I151)/I9</f>
        <v>1.177648708191468E-2</v>
      </c>
      <c r="J203" s="15">
        <f>(J149+J151)/J9</f>
        <v>1.3012178732536697E-2</v>
      </c>
      <c r="K203" s="163" t="s">
        <v>265</v>
      </c>
    </row>
    <row r="204" spans="1:11">
      <c r="A204" s="1" t="s">
        <v>169</v>
      </c>
      <c r="B204" s="15">
        <f>B29/B28</f>
        <v>5.9831121833534381E-2</v>
      </c>
      <c r="C204" s="15">
        <f>C29/C28</f>
        <v>2.0837244227520181E-2</v>
      </c>
      <c r="D204" s="15">
        <f>D29/D28</f>
        <v>5.473372781065089E-2</v>
      </c>
      <c r="E204" s="15">
        <f>E29/E28</f>
        <v>4.7676042290045878E-2</v>
      </c>
      <c r="F204" s="15">
        <f>F29/F28</f>
        <v>4.7672938180789361E-2</v>
      </c>
      <c r="G204" s="15">
        <f>G29/G28</f>
        <v>4.5929798356982826E-2</v>
      </c>
      <c r="H204" s="15">
        <f>H29/H28</f>
        <v>4.6809108799550185E-2</v>
      </c>
      <c r="I204" s="15">
        <f>I29/I28</f>
        <v>4.6159527326440179E-2</v>
      </c>
      <c r="J204" s="15">
        <f>J29/J28</f>
        <v>4.8034439787017109E-2</v>
      </c>
      <c r="K204" s="163" t="s">
        <v>265</v>
      </c>
    </row>
    <row r="205" spans="1:11" ht="81">
      <c r="A205" s="1" t="s">
        <v>561</v>
      </c>
      <c r="B205" s="17">
        <f>-B174/B34</f>
        <v>1.9692328183271179</v>
      </c>
      <c r="C205" s="17">
        <f>-C174/C34</f>
        <v>2.1199593358183666</v>
      </c>
      <c r="D205" s="17">
        <f>-D174/D34</f>
        <v>2.2713884992987379</v>
      </c>
      <c r="E205" s="17">
        <f>-E174/E34</f>
        <v>2.4149838600705653</v>
      </c>
      <c r="F205" s="17">
        <f>-F174/F34</f>
        <v>2.6643804979871772</v>
      </c>
      <c r="G205" s="17">
        <f>-G174/G34</f>
        <v>1.9847783912848829</v>
      </c>
      <c r="H205" s="17">
        <f>-H174/H34</f>
        <v>2.1344985928010662</v>
      </c>
      <c r="I205" s="17">
        <f>-I174/I34</f>
        <v>0.72770300251442088</v>
      </c>
      <c r="J205" s="17"/>
      <c r="K205" s="163" t="s">
        <v>562</v>
      </c>
    </row>
    <row r="206" spans="1:11" ht="91.5">
      <c r="A206" s="1" t="s">
        <v>563</v>
      </c>
      <c r="B206" s="15">
        <f>B19*(1-B27)/(B139+B131+B142-B106)</f>
        <v>4.2367267172515682E-2</v>
      </c>
      <c r="C206" s="15">
        <f>C19*(1-C27)/(C139+C131+C142-C106)</f>
        <v>4.7975816678923484E-2</v>
      </c>
      <c r="D206" s="15">
        <f>D19*(1-D27)/(D139+D131+D142-D106)</f>
        <v>3.1795007370910795E-2</v>
      </c>
      <c r="E206" s="15">
        <f>E19*(1-E27)/(E139+E131+E142-E106)</f>
        <v>5.4192501861568584E-2</v>
      </c>
      <c r="F206" s="15">
        <f>F19*(1-F27)/(F139+F131+F142-F106)</f>
        <v>7.7125235888279561E-2</v>
      </c>
      <c r="G206" s="15"/>
      <c r="H206" s="15"/>
      <c r="I206" s="15"/>
      <c r="J206" s="15">
        <f>J19*(1-J27)/(J139+J131+J142-J106)</f>
        <v>9.2580685866765641E-2</v>
      </c>
      <c r="K206" s="163" t="s">
        <v>564</v>
      </c>
    </row>
    <row r="207" spans="1:11" ht="81">
      <c r="A207" s="1" t="s">
        <v>565</v>
      </c>
      <c r="B207" s="15">
        <f>B19*(1-B27)/(B139+B131+B142-B106-B115-B116)</f>
        <v>0.7716491594354189</v>
      </c>
      <c r="C207" s="15">
        <f>C19*(1-C27)/(C139+C131+C142-C106-C115-C116)</f>
        <v>0.51846056168284349</v>
      </c>
      <c r="D207" s="15">
        <f>D19*(1-D27)/(D139+D131+D142-D106-D115-D116)</f>
        <v>0.32728593954295732</v>
      </c>
      <c r="E207" s="15">
        <f>E19*(1-E27)/(E139+E131+E142-E106-E115-E116)</f>
        <v>0.46379262637088425</v>
      </c>
      <c r="F207" s="15">
        <f>F19*(1-F27)/(F139+F131+F142-F106-F115-F116)</f>
        <v>0.60616498102482519</v>
      </c>
      <c r="G207" s="15"/>
      <c r="H207" s="15"/>
      <c r="I207" s="15"/>
      <c r="J207" s="15">
        <f>J19*(1-J27)/(J139+J131+J142-J106-J115-J116)</f>
        <v>0.58957558429809453</v>
      </c>
      <c r="K207" s="163" t="s">
        <v>566</v>
      </c>
    </row>
    <row r="208" spans="1:11">
      <c r="A208" s="1" t="s">
        <v>567</v>
      </c>
      <c r="B208" s="28">
        <f>B142/B36</f>
        <v>3.2482203652120085</v>
      </c>
      <c r="C208" s="28">
        <f>C142/C36</f>
        <v>3.3202247191011236</v>
      </c>
      <c r="D208" s="28">
        <f>D142/D36</f>
        <v>5.6390890375707672</v>
      </c>
      <c r="E208" s="28">
        <f>E142/E36</f>
        <v>3.7847184002935239</v>
      </c>
      <c r="F208" s="28">
        <f>F142/F36</f>
        <v>2.7711653750548324</v>
      </c>
      <c r="G208" s="28"/>
      <c r="H208" s="28"/>
      <c r="I208" s="28"/>
      <c r="J208" s="28">
        <f>J142/J36</f>
        <v>2.3844730798673131</v>
      </c>
      <c r="K208" s="163" t="s">
        <v>265</v>
      </c>
    </row>
    <row r="209" spans="1:11">
      <c r="A209" s="1" t="s">
        <v>568</v>
      </c>
      <c r="B209" s="28">
        <f>B143/B36</f>
        <v>2.4402145878468997</v>
      </c>
      <c r="C209" s="28">
        <f>C143/C36</f>
        <v>2.6731169371618808</v>
      </c>
      <c r="D209" s="28">
        <f>D143/D36</f>
        <v>4.7915594441585174</v>
      </c>
      <c r="E209" s="28">
        <f>E143/E36</f>
        <v>3.2730691616217209</v>
      </c>
      <c r="F209" s="28">
        <f>F143/F36</f>
        <v>2.2275917531802896</v>
      </c>
      <c r="G209" s="28"/>
      <c r="H209" s="28"/>
      <c r="I209" s="28"/>
      <c r="J209" s="28">
        <f>J143/J36</f>
        <v>1.7993110487369226</v>
      </c>
      <c r="K209" s="163" t="s">
        <v>265</v>
      </c>
    </row>
    <row r="210" spans="1:11">
      <c r="A210" s="1" t="s">
        <v>569</v>
      </c>
      <c r="B210" s="15">
        <f>B106/B9</f>
        <v>0.12163757221842579</v>
      </c>
      <c r="C210" s="15">
        <f>C106/C9</f>
        <v>9.273339893252229E-2</v>
      </c>
      <c r="D210" s="15">
        <f>D106/D9</f>
        <v>9.557457922228671E-2</v>
      </c>
      <c r="E210" s="15">
        <f>E106/E9</f>
        <v>6.9087666278580095E-2</v>
      </c>
      <c r="F210" s="15">
        <f>F106/F9</f>
        <v>8.3913637235759508E-2</v>
      </c>
      <c r="G210" s="15"/>
      <c r="H210" s="15"/>
      <c r="I210" s="15"/>
      <c r="J210" s="15">
        <f>J106/J9</f>
        <v>9.556502443039161E-2</v>
      </c>
      <c r="K210" s="163" t="s">
        <v>265</v>
      </c>
    </row>
    <row r="211" spans="1:11">
      <c r="B211" s="6"/>
      <c r="C211" s="6"/>
      <c r="D211" s="6"/>
      <c r="E211" s="6"/>
      <c r="F211" s="6"/>
      <c r="G211" s="6"/>
      <c r="H211" s="6"/>
      <c r="I211" s="6"/>
      <c r="J211" s="6"/>
      <c r="K211" s="163"/>
    </row>
    <row r="212" spans="1:11">
      <c r="A212" s="2" t="s">
        <v>570</v>
      </c>
      <c r="B212" s="29"/>
      <c r="C212" s="29"/>
      <c r="D212" s="29"/>
      <c r="E212" s="29"/>
      <c r="F212" s="29"/>
      <c r="G212" s="29"/>
      <c r="H212" s="29"/>
      <c r="I212" s="29"/>
      <c r="J212" s="29"/>
      <c r="K212" s="30"/>
    </row>
    <row r="213" spans="1:11" ht="111.75">
      <c r="A213" s="1" t="s">
        <v>571</v>
      </c>
      <c r="B213" s="6"/>
      <c r="C213" s="6"/>
      <c r="D213" s="6"/>
      <c r="E213" s="6"/>
      <c r="F213" s="3">
        <v>44454</v>
      </c>
      <c r="G213" s="6"/>
      <c r="H213" s="6"/>
      <c r="I213" s="6"/>
      <c r="J213" s="6"/>
      <c r="K213" s="163" t="s">
        <v>572</v>
      </c>
    </row>
    <row r="214" spans="1:11" ht="30.75">
      <c r="A214" s="1" t="s">
        <v>573</v>
      </c>
      <c r="B214" s="6"/>
      <c r="C214" s="6"/>
      <c r="D214" s="6"/>
      <c r="E214" s="6"/>
      <c r="F214" s="3">
        <v>45114</v>
      </c>
      <c r="G214" s="6"/>
      <c r="H214" s="6"/>
      <c r="I214" s="6"/>
      <c r="J214" s="6"/>
      <c r="K214" s="163" t="s">
        <v>574</v>
      </c>
    </row>
    <row r="215" spans="1:11" ht="30.75">
      <c r="A215" s="7" t="s">
        <v>575</v>
      </c>
      <c r="B215" s="14"/>
      <c r="C215" s="14"/>
      <c r="D215" s="14"/>
      <c r="E215" s="14"/>
      <c r="F215" s="14">
        <f>F214-F213</f>
        <v>660</v>
      </c>
      <c r="G215" s="14"/>
      <c r="H215" s="14"/>
      <c r="I215" s="14"/>
      <c r="J215" s="14"/>
      <c r="K215" s="163" t="s">
        <v>576</v>
      </c>
    </row>
    <row r="216" spans="1:11" ht="41.25">
      <c r="A216" s="1" t="s">
        <v>577</v>
      </c>
      <c r="B216" s="6"/>
      <c r="C216" s="6"/>
      <c r="D216" s="6"/>
      <c r="E216" s="6"/>
      <c r="F216" s="3">
        <v>890</v>
      </c>
      <c r="G216" s="6"/>
      <c r="H216" s="6"/>
      <c r="I216" s="6"/>
      <c r="J216" s="6"/>
      <c r="K216" s="163" t="s">
        <v>578</v>
      </c>
    </row>
    <row r="217" spans="1:11" ht="30.75">
      <c r="A217" s="1" t="s">
        <v>579</v>
      </c>
      <c r="B217" s="6"/>
      <c r="C217" s="6"/>
      <c r="D217" s="6"/>
      <c r="E217" s="6"/>
      <c r="F217" s="3">
        <v>330</v>
      </c>
      <c r="G217" s="6"/>
      <c r="H217" s="6"/>
      <c r="I217" s="6"/>
      <c r="J217" s="6"/>
      <c r="K217" s="163" t="s">
        <v>574</v>
      </c>
    </row>
    <row r="218" spans="1:11" ht="20.25">
      <c r="A218" s="7" t="s">
        <v>580</v>
      </c>
      <c r="B218" s="14"/>
      <c r="C218" s="14"/>
      <c r="D218" s="14"/>
      <c r="E218" s="14"/>
      <c r="F218" s="14">
        <f>F217-F216</f>
        <v>-560</v>
      </c>
      <c r="G218" s="14"/>
      <c r="H218" s="14"/>
      <c r="I218" s="14"/>
      <c r="J218" s="14"/>
      <c r="K218" s="163" t="s">
        <v>581</v>
      </c>
    </row>
    <row r="219" spans="1:11" ht="91.5">
      <c r="A219" s="7" t="s">
        <v>582</v>
      </c>
      <c r="B219" s="9"/>
      <c r="C219" s="9"/>
      <c r="D219" s="9"/>
      <c r="E219" s="9"/>
      <c r="F219" s="9">
        <f>F215+F218</f>
        <v>100</v>
      </c>
      <c r="G219" s="9"/>
      <c r="H219" s="9"/>
      <c r="I219" s="9"/>
      <c r="J219" s="9"/>
      <c r="K219" s="163" t="s">
        <v>583</v>
      </c>
    </row>
  </sheetData>
  <printOptions horizontalCentered="1" gridLinesSet="0"/>
  <pageMargins left="0.5" right="0.5" top="0.5" bottom="0.5" header="0.25" footer="0.25"/>
  <pageSetup firstPageNumber="0" fitToHeight="5" orientation="landscape" horizontalDpi="0" verticalDpi="0" copies="0"/>
  <headerFooter>
    <oddFooter>&amp;C&amp;"Arial"&amp;8Point Alpha Capital | PA-RTX-Model | Historical | Page &amp;P of &amp;N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706B7-5692-4A68-8BF7-6A27DDF00CF3}">
  <sheetPr>
    <tabColor rgb="FFA6A6A6"/>
    <pageSetUpPr fitToPage="1"/>
  </sheetPr>
  <dimension ref="A1:Z15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26" width="9.140625" style="1"/>
  </cols>
  <sheetData>
    <row r="1" spans="1:13" ht="15.75">
      <c r="A1" s="70" t="s">
        <v>584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>
      <c r="A2" s="71" t="s">
        <v>585</v>
      </c>
    </row>
    <row r="4" spans="1:13">
      <c r="A4" s="164" t="s">
        <v>586</v>
      </c>
      <c r="B4" s="166" t="s">
        <v>42</v>
      </c>
      <c r="C4" s="165" t="s">
        <v>43</v>
      </c>
      <c r="D4" s="165" t="s">
        <v>45</v>
      </c>
      <c r="E4" s="165" t="s">
        <v>47</v>
      </c>
      <c r="F4" s="165" t="s">
        <v>48</v>
      </c>
      <c r="G4" s="165" t="s">
        <v>49</v>
      </c>
      <c r="H4" s="165" t="s">
        <v>50</v>
      </c>
      <c r="I4" s="165" t="s">
        <v>51</v>
      </c>
      <c r="J4" s="165" t="s">
        <v>52</v>
      </c>
      <c r="K4" s="165" t="s">
        <v>53</v>
      </c>
      <c r="L4" s="165" t="s">
        <v>54</v>
      </c>
      <c r="M4" s="165" t="s">
        <v>86</v>
      </c>
    </row>
    <row r="5" spans="1:13">
      <c r="B5" s="167"/>
    </row>
    <row r="6" spans="1:13">
      <c r="A6" s="2" t="s">
        <v>587</v>
      </c>
      <c r="B6" s="168"/>
      <c r="C6" s="29"/>
      <c r="D6" s="29"/>
      <c r="E6" s="29"/>
      <c r="F6" s="29"/>
      <c r="G6" s="29"/>
      <c r="H6" s="29"/>
      <c r="I6" s="29"/>
      <c r="J6" s="29"/>
      <c r="K6" s="29"/>
      <c r="L6" s="29"/>
      <c r="M6" s="30"/>
    </row>
    <row r="7" spans="1:13">
      <c r="A7" s="7" t="s">
        <v>588</v>
      </c>
      <c r="B7" s="169"/>
      <c r="C7" s="6"/>
      <c r="D7" s="6"/>
      <c r="E7" s="6"/>
      <c r="F7" s="6"/>
      <c r="G7" s="6"/>
      <c r="H7" s="6"/>
      <c r="I7" s="6"/>
      <c r="J7" s="6"/>
      <c r="K7" s="6"/>
      <c r="L7" s="6"/>
      <c r="M7" s="163"/>
    </row>
    <row r="8" spans="1:13" ht="30.75">
      <c r="A8" s="1" t="s">
        <v>589</v>
      </c>
      <c r="B8" s="170">
        <f>Historical!F41*Assumptions!B17*(1-Assumptions!C19)</f>
        <v>7717.2857142857101</v>
      </c>
      <c r="C8" s="47">
        <f>B8*(1+Assumptions!C20)</f>
        <v>8720.5328571428508</v>
      </c>
      <c r="D8" s="47">
        <f>C8*(1+Assumptions!D20)</f>
        <v>9418.1754857142787</v>
      </c>
      <c r="E8" s="47">
        <f>D8*(1+Assumptions!E20)</f>
        <v>10077.447769714279</v>
      </c>
      <c r="F8" s="47">
        <f>E8*(1+Assumptions!F20)</f>
        <v>10682.094635897136</v>
      </c>
      <c r="G8" s="47">
        <f>F8*(1+Assumptions!G20)</f>
        <v>11216.199367691994</v>
      </c>
      <c r="H8" s="47">
        <f>G8*(1+Assumptions!H20)</f>
        <v>11732.144538605826</v>
      </c>
      <c r="I8" s="47">
        <f>H8*(1+Assumptions!I20)</f>
        <v>12224.894609227271</v>
      </c>
      <c r="J8" s="47">
        <f>I8*(1+Assumptions!J20)</f>
        <v>12689.440604377907</v>
      </c>
      <c r="K8" s="47">
        <f>J8*(1+Assumptions!K20)</f>
        <v>13120.881584926756</v>
      </c>
      <c r="L8" s="47">
        <f>K8*(1+Assumptions!L20)</f>
        <v>13514.50803247456</v>
      </c>
      <c r="M8" s="163" t="s">
        <v>590</v>
      </c>
    </row>
    <row r="9" spans="1:13" ht="41.25">
      <c r="A9" s="1" t="s">
        <v>591</v>
      </c>
      <c r="B9" s="170">
        <f>Historical!F41*Assumptions!B17*Assumptions!C19</f>
        <v>13751.71428571429</v>
      </c>
      <c r="C9" s="47">
        <f>B9*(1+Assumptions!C21)</f>
        <v>14576.817142857148</v>
      </c>
      <c r="D9" s="47">
        <f>C9*(1+Assumptions!D21)</f>
        <v>15742.96251428572</v>
      </c>
      <c r="E9" s="47">
        <f>D9*(1+Assumptions!E21)</f>
        <v>16844.969890285724</v>
      </c>
      <c r="F9" s="47">
        <f>E9*(1+Assumptions!F21)</f>
        <v>17855.668083702869</v>
      </c>
      <c r="G9" s="47">
        <f>F9*(1+Assumptions!G21)</f>
        <v>18748.451487888015</v>
      </c>
      <c r="H9" s="47">
        <f>G9*(1+Assumptions!H21)</f>
        <v>19610.880256330864</v>
      </c>
      <c r="I9" s="47">
        <f>H9*(1+Assumptions!I21)</f>
        <v>20434.53722709676</v>
      </c>
      <c r="J9" s="47">
        <f>I9*(1+Assumptions!J21)</f>
        <v>21211.049641726437</v>
      </c>
      <c r="K9" s="47">
        <f>J9*(1+Assumptions!K21)</f>
        <v>21932.225329545137</v>
      </c>
      <c r="L9" s="47">
        <f>K9*(1+Assumptions!L21)</f>
        <v>22590.192089431494</v>
      </c>
      <c r="M9" s="163" t="s">
        <v>592</v>
      </c>
    </row>
    <row r="10" spans="1:13" ht="41.25">
      <c r="A10" s="1" t="s">
        <v>593</v>
      </c>
      <c r="B10" s="170">
        <f>Historical!F41*(1-Assumptions!B17)</f>
        <v>8727</v>
      </c>
      <c r="C10" s="47">
        <f>B10*(1+Assumptions!C22)</f>
        <v>9076.08</v>
      </c>
      <c r="D10" s="47">
        <f>C10*(1+Assumptions!D22)</f>
        <v>9529.884</v>
      </c>
      <c r="E10" s="47">
        <f>D10*(1+Assumptions!E22)</f>
        <v>10006.378200000001</v>
      </c>
      <c r="F10" s="47">
        <f>E10*(1+Assumptions!F22)</f>
        <v>10406.633328000002</v>
      </c>
      <c r="G10" s="47">
        <f>F10*(1+Assumptions!G22)</f>
        <v>10822.898661120002</v>
      </c>
      <c r="H10" s="47">
        <f>G10*(1+Assumptions!H22)</f>
        <v>11234.168810242561</v>
      </c>
      <c r="I10" s="47">
        <f>H10*(1+Assumptions!I22)</f>
        <v>11638.598887411294</v>
      </c>
      <c r="J10" s="47">
        <f>I10*(1+Assumptions!J22)</f>
        <v>12034.311249583277</v>
      </c>
      <c r="K10" s="47">
        <f>J10*(1+Assumptions!K22)</f>
        <v>12419.409209569943</v>
      </c>
      <c r="L10" s="47">
        <f>K10*(1+Assumptions!L22)</f>
        <v>12791.991485857043</v>
      </c>
      <c r="M10" s="163" t="s">
        <v>594</v>
      </c>
    </row>
    <row r="11" spans="1:13">
      <c r="A11" s="7" t="s">
        <v>595</v>
      </c>
      <c r="B11" s="171">
        <f>B8+B9+B10</f>
        <v>30196</v>
      </c>
      <c r="C11" s="9">
        <f>C8+C9+C10</f>
        <v>32373.43</v>
      </c>
      <c r="D11" s="9">
        <f>D8+D9+D10</f>
        <v>34691.021999999997</v>
      </c>
      <c r="E11" s="9">
        <f>E8+E9+E10</f>
        <v>36928.795860000006</v>
      </c>
      <c r="F11" s="9">
        <f>F8+F9+F10</f>
        <v>38944.396047600007</v>
      </c>
      <c r="G11" s="9">
        <f>G8+G9+G10</f>
        <v>40787.549516700012</v>
      </c>
      <c r="H11" s="9">
        <f>H8+H9+H10</f>
        <v>42577.193605179251</v>
      </c>
      <c r="I11" s="9">
        <f>I8+I9+I10</f>
        <v>44298.030723735326</v>
      </c>
      <c r="J11" s="9">
        <f>J8+J9+J10</f>
        <v>45934.801495687621</v>
      </c>
      <c r="K11" s="9">
        <f>K8+K9+K10</f>
        <v>47472.516124041838</v>
      </c>
      <c r="L11" s="9">
        <f>L8+L9+L10</f>
        <v>48896.691607763096</v>
      </c>
      <c r="M11" s="163" t="s">
        <v>596</v>
      </c>
    </row>
    <row r="12" spans="1:13">
      <c r="A12" s="7" t="s">
        <v>597</v>
      </c>
      <c r="B12" s="169"/>
      <c r="C12" s="6"/>
      <c r="D12" s="6"/>
      <c r="E12" s="6"/>
      <c r="F12" s="6"/>
      <c r="G12" s="6"/>
      <c r="H12" s="6"/>
      <c r="I12" s="6"/>
      <c r="J12" s="6"/>
      <c r="K12" s="6"/>
      <c r="L12" s="6"/>
      <c r="M12" s="163"/>
    </row>
    <row r="13" spans="1:13" ht="30.75">
      <c r="A13" s="1" t="s">
        <v>589</v>
      </c>
      <c r="B13" s="170">
        <f>Historical!F42*Assumptions!B24*(1-Assumptions!C26)</f>
        <v>7088.9230769230762</v>
      </c>
      <c r="C13" s="47">
        <f>B13*(1+Assumptions!C27)</f>
        <v>6805.3661538461529</v>
      </c>
      <c r="D13" s="47">
        <f>C13*(1+Assumptions!D27)</f>
        <v>7213.6881230769222</v>
      </c>
      <c r="E13" s="47">
        <f>D13*(1+Assumptions!E27)</f>
        <v>7646.5094104615382</v>
      </c>
      <c r="F13" s="47">
        <f>E13*(1+Assumptions!F27)</f>
        <v>8028.8348809846157</v>
      </c>
      <c r="G13" s="47">
        <f>F13*(1+Assumptions!G27)</f>
        <v>8349.9882762240013</v>
      </c>
      <c r="H13" s="47">
        <f>G13*(1+Assumptions!H27)</f>
        <v>8667.2878307205137</v>
      </c>
      <c r="I13" s="47">
        <f>H13*(1+Assumptions!I27)</f>
        <v>8979.3101926264517</v>
      </c>
      <c r="J13" s="47">
        <f>I13*(1+Assumptions!J27)</f>
        <v>9284.6067391757515</v>
      </c>
      <c r="K13" s="47">
        <f>J13*(1+Assumptions!K27)</f>
        <v>9581.7141548293766</v>
      </c>
      <c r="L13" s="47">
        <f>K13*(1+Assumptions!L27)</f>
        <v>9869.1655794742583</v>
      </c>
      <c r="M13" s="163" t="s">
        <v>590</v>
      </c>
    </row>
    <row r="14" spans="1:13" ht="41.25">
      <c r="A14" s="1" t="s">
        <v>591</v>
      </c>
      <c r="B14" s="170">
        <f>Historical!F42*Assumptions!B24*Assumptions!C26</f>
        <v>16471.076923076926</v>
      </c>
      <c r="C14" s="47">
        <f>B14*(1+Assumptions!C28)</f>
        <v>19600.581538461542</v>
      </c>
      <c r="D14" s="47">
        <f>C14*(1+Assumptions!D28)</f>
        <v>21952.651323076927</v>
      </c>
      <c r="E14" s="47">
        <f>D14*(1+Assumptions!E28)</f>
        <v>23928.389942153852</v>
      </c>
      <c r="F14" s="47">
        <f>E14*(1+Assumptions!F28)</f>
        <v>25603.377238104622</v>
      </c>
      <c r="G14" s="47">
        <f>F14*(1+Assumptions!G28)</f>
        <v>27139.579872390899</v>
      </c>
      <c r="H14" s="47">
        <f>G14*(1+Assumptions!H28)</f>
        <v>28605.11718550001</v>
      </c>
      <c r="I14" s="47">
        <f>H14*(1+Assumptions!I28)</f>
        <v>29978.162810404014</v>
      </c>
      <c r="J14" s="47">
        <f>I14*(1+Assumptions!J28)</f>
        <v>31237.245648440985</v>
      </c>
      <c r="K14" s="47">
        <f>J14*(1+Assumptions!K28)</f>
        <v>32361.78649178486</v>
      </c>
      <c r="L14" s="47">
        <f>K14*(1+Assumptions!L28)</f>
        <v>33332.640086538406</v>
      </c>
      <c r="M14" s="163" t="s">
        <v>592</v>
      </c>
    </row>
    <row r="15" spans="1:13" ht="30.75">
      <c r="A15" s="1" t="s">
        <v>598</v>
      </c>
      <c r="B15" s="170">
        <f>Historical!F42*(1-Assumptions!B24)</f>
        <v>9356</v>
      </c>
      <c r="C15" s="47">
        <f>B15*(1+Assumptions!C29)</f>
        <v>9917.36</v>
      </c>
      <c r="D15" s="47">
        <f>C15*(1+Assumptions!D29)</f>
        <v>10512.401600000001</v>
      </c>
      <c r="E15" s="47">
        <f>D15*(1+Assumptions!E29)</f>
        <v>11038.021680000002</v>
      </c>
      <c r="F15" s="47">
        <f>E15*(1+Assumptions!F29)</f>
        <v>11479.542547200002</v>
      </c>
      <c r="G15" s="47">
        <f>F15*(1+Assumptions!G29)</f>
        <v>11938.724249088003</v>
      </c>
      <c r="H15" s="47">
        <f>G15*(1+Assumptions!H29)</f>
        <v>12392.395770553348</v>
      </c>
      <c r="I15" s="47">
        <f>H15*(1+Assumptions!I29)</f>
        <v>12838.52201829327</v>
      </c>
      <c r="J15" s="47">
        <f>I15*(1+Assumptions!J29)</f>
        <v>13275.031766915241</v>
      </c>
      <c r="K15" s="47">
        <f>J15*(1+Assumptions!K29)</f>
        <v>13699.83278345653</v>
      </c>
      <c r="L15" s="47">
        <f>K15*(1+Assumptions!L29)</f>
        <v>14110.827766960227</v>
      </c>
      <c r="M15" s="163" t="s">
        <v>599</v>
      </c>
    </row>
    <row r="16" spans="1:13">
      <c r="A16" s="7" t="s">
        <v>600</v>
      </c>
      <c r="B16" s="171">
        <f>B13+B14+B15</f>
        <v>32916</v>
      </c>
      <c r="C16" s="9">
        <f>C13+C14+C15</f>
        <v>36323.307692307695</v>
      </c>
      <c r="D16" s="9">
        <f>D13+D14+D15</f>
        <v>39678.741046153853</v>
      </c>
      <c r="E16" s="9">
        <f>E13+E14+E15</f>
        <v>42612.921032615392</v>
      </c>
      <c r="F16" s="9">
        <f>F13+F14+F15</f>
        <v>45111.754666289242</v>
      </c>
      <c r="G16" s="9">
        <f>G13+G14+G15</f>
        <v>47428.292397702899</v>
      </c>
      <c r="H16" s="9">
        <f>H13+H14+H15</f>
        <v>49664.800786773871</v>
      </c>
      <c r="I16" s="9">
        <f>I13+I14+I15</f>
        <v>51795.995021323732</v>
      </c>
      <c r="J16" s="9">
        <f>J13+J14+J15</f>
        <v>53796.884154531981</v>
      </c>
      <c r="K16" s="9">
        <f>K13+K14+K15</f>
        <v>55643.333430070765</v>
      </c>
      <c r="L16" s="9">
        <f>L13+L14+L15</f>
        <v>57312.633432972885</v>
      </c>
      <c r="M16" s="163" t="s">
        <v>596</v>
      </c>
    </row>
    <row r="17" spans="1:13" ht="41.25">
      <c r="A17" s="7" t="s">
        <v>601</v>
      </c>
      <c r="B17" s="172">
        <f>Historical!F43</f>
        <v>28043</v>
      </c>
      <c r="C17" s="58">
        <f>B17*(1+Assumptions!C31)</f>
        <v>31408.160000000003</v>
      </c>
      <c r="D17" s="58">
        <f>C17*(1+Assumptions!D31)</f>
        <v>33606.731200000009</v>
      </c>
      <c r="E17" s="58">
        <f>D17*(1+Assumptions!E31)</f>
        <v>35623.135072000012</v>
      </c>
      <c r="F17" s="58">
        <f>E17*(1+Assumptions!F31)</f>
        <v>37404.291825600012</v>
      </c>
      <c r="G17" s="58">
        <f>F17*(1+Assumptions!G31)</f>
        <v>38900.463498624013</v>
      </c>
      <c r="H17" s="58">
        <f>G17*(1+Assumptions!H31)</f>
        <v>40378.681111571728</v>
      </c>
      <c r="I17" s="58">
        <f>H17*(1+Assumptions!I31)</f>
        <v>41832.313631588309</v>
      </c>
      <c r="J17" s="58">
        <f>I17*(1+Assumptions!J31)</f>
        <v>43254.61229506231</v>
      </c>
      <c r="K17" s="58">
        <f>J17*(1+Assumptions!K31)</f>
        <v>44638.759888504304</v>
      </c>
      <c r="L17" s="58">
        <f>K17*(1+Assumptions!L31)</f>
        <v>45977.922685159436</v>
      </c>
      <c r="M17" s="163" t="s">
        <v>602</v>
      </c>
    </row>
    <row r="18" spans="1:13">
      <c r="A18" s="1" t="s">
        <v>312</v>
      </c>
      <c r="B18" s="173">
        <f>B11+B16+B17</f>
        <v>91155</v>
      </c>
      <c r="C18" s="12">
        <f>C11+C16+C17</f>
        <v>100104.8976923077</v>
      </c>
      <c r="D18" s="12">
        <f>D11+D16+D17</f>
        <v>107976.49424615386</v>
      </c>
      <c r="E18" s="12">
        <f>E11+E16+E17</f>
        <v>115164.8519646154</v>
      </c>
      <c r="F18" s="12">
        <f>F11+F16+F17</f>
        <v>121460.44253948926</v>
      </c>
      <c r="G18" s="12">
        <f>G11+G16+G17</f>
        <v>127116.30541302692</v>
      </c>
      <c r="H18" s="12">
        <f>H11+H16+H17</f>
        <v>132620.67550352484</v>
      </c>
      <c r="I18" s="12">
        <f>I11+I16+I17</f>
        <v>137926.33937664737</v>
      </c>
      <c r="J18" s="12">
        <f>J11+J16+J17</f>
        <v>142986.2979452819</v>
      </c>
      <c r="K18" s="12">
        <f>K11+K16+K17</f>
        <v>147754.6094426169</v>
      </c>
      <c r="L18" s="12">
        <f>L11+L16+L17</f>
        <v>152187.2477258954</v>
      </c>
      <c r="M18" s="163" t="s">
        <v>596</v>
      </c>
    </row>
    <row r="19" spans="1:13" ht="51">
      <c r="A19" s="1" t="s">
        <v>313</v>
      </c>
      <c r="B19" s="170">
        <f>Historical!F45</f>
        <v>-2552</v>
      </c>
      <c r="C19" s="47">
        <f>C18*Assumptions!C32</f>
        <v>-2747.427458667466</v>
      </c>
      <c r="D19" s="47">
        <f>D18*Assumptions!D32</f>
        <v>-2963.4672430750475</v>
      </c>
      <c r="E19" s="47">
        <f>E18*Assumptions!E32</f>
        <v>-3160.7552063386374</v>
      </c>
      <c r="F19" s="47">
        <f>F18*Assumptions!F32</f>
        <v>-3333.5407424379932</v>
      </c>
      <c r="G19" s="47">
        <f>G18*Assumptions!G32</f>
        <v>-3488.7686415661424</v>
      </c>
      <c r="H19" s="47">
        <f>H18*Assumptions!H32</f>
        <v>-3639.8387478039513</v>
      </c>
      <c r="I19" s="47">
        <f>I18*Assumptions!I32</f>
        <v>-3785.4552655519833</v>
      </c>
      <c r="J19" s="47">
        <f>J18*Assumptions!J32</f>
        <v>-3924.3282820742752</v>
      </c>
      <c r="K19" s="47">
        <f>K18*Assumptions!K32</f>
        <v>-4055.196903303231</v>
      </c>
      <c r="L19" s="47">
        <f>L18*Assumptions!L32</f>
        <v>-4176.852810402328</v>
      </c>
      <c r="M19" s="163" t="s">
        <v>603</v>
      </c>
    </row>
    <row r="20" spans="1:13" ht="30.75">
      <c r="A20" s="7" t="s">
        <v>252</v>
      </c>
      <c r="B20" s="171">
        <f>B18+B19</f>
        <v>88603</v>
      </c>
      <c r="C20" s="9">
        <f>C18+C19</f>
        <v>97357.470233640226</v>
      </c>
      <c r="D20" s="9">
        <f>D18+D19</f>
        <v>105013.02700307881</v>
      </c>
      <c r="E20" s="9">
        <f>E18+E19</f>
        <v>112004.09675827676</v>
      </c>
      <c r="F20" s="9">
        <f>F18+F19</f>
        <v>118126.90179705127</v>
      </c>
      <c r="G20" s="9">
        <f>G18+G19</f>
        <v>123627.53677146077</v>
      </c>
      <c r="H20" s="9">
        <f>H18+H19</f>
        <v>128980.83675572088</v>
      </c>
      <c r="I20" s="9">
        <f>I18+I19</f>
        <v>134140.88411109539</v>
      </c>
      <c r="J20" s="9">
        <f>J18+J19</f>
        <v>139061.96966320762</v>
      </c>
      <c r="K20" s="9">
        <f>K18+K19</f>
        <v>143699.41253931366</v>
      </c>
      <c r="L20" s="9">
        <f>L18+L19</f>
        <v>148010.39491549309</v>
      </c>
      <c r="M20" s="163" t="s">
        <v>604</v>
      </c>
    </row>
    <row r="21" spans="1:13">
      <c r="A21" s="1" t="s">
        <v>605</v>
      </c>
      <c r="B21" s="174"/>
      <c r="C21" s="15">
        <f>C20/B20-1</f>
        <v>9.8805573554396897E-2</v>
      </c>
      <c r="D21" s="15">
        <f>D20/C20-1</f>
        <v>7.8633480831687974E-2</v>
      </c>
      <c r="E21" s="15">
        <f>E20/D20-1</f>
        <v>6.6573357179704917E-2</v>
      </c>
      <c r="F21" s="15">
        <f>F20/E20-1</f>
        <v>5.4665902551658707E-2</v>
      </c>
      <c r="G21" s="15">
        <f>G20/F20-1</f>
        <v>4.6565472307569022E-2</v>
      </c>
      <c r="H21" s="15">
        <f>H20/G20-1</f>
        <v>4.3301841353971859E-2</v>
      </c>
      <c r="I21" s="15">
        <f>I20/H20-1</f>
        <v>4.000631012455913E-2</v>
      </c>
      <c r="J21" s="15">
        <f>J20/I20-1</f>
        <v>3.6685948394648893E-2</v>
      </c>
      <c r="K21" s="15">
        <f>K20/J20-1</f>
        <v>3.3348031006158019E-2</v>
      </c>
      <c r="L21" s="15">
        <f>L20/K20-1</f>
        <v>3.0000000000000027E-2</v>
      </c>
      <c r="M21" s="163"/>
    </row>
    <row r="22" spans="1:13" ht="30.75">
      <c r="A22" s="1" t="s">
        <v>606</v>
      </c>
      <c r="B22" s="169">
        <f>B9+B14</f>
        <v>30222.791208791215</v>
      </c>
      <c r="C22" s="6">
        <f>C9+C14</f>
        <v>34177.398681318693</v>
      </c>
      <c r="D22" s="6">
        <f>D9+D14</f>
        <v>37695.613837362645</v>
      </c>
      <c r="E22" s="6">
        <f>E9+E14</f>
        <v>40773.359832439572</v>
      </c>
      <c r="F22" s="6">
        <f>F9+F14</f>
        <v>43459.045321807491</v>
      </c>
      <c r="G22" s="6">
        <f>G9+G14</f>
        <v>45888.03136027891</v>
      </c>
      <c r="H22" s="6">
        <f>H9+H14</f>
        <v>48215.99744183087</v>
      </c>
      <c r="I22" s="6">
        <f>I9+I14</f>
        <v>50412.700037500777</v>
      </c>
      <c r="J22" s="6">
        <f>J9+J14</f>
        <v>52448.295290167422</v>
      </c>
      <c r="K22" s="6">
        <f>K9+K14</f>
        <v>54294.011821330001</v>
      </c>
      <c r="L22" s="6">
        <f>L9+L14</f>
        <v>55922.832175969903</v>
      </c>
      <c r="M22" s="163" t="s">
        <v>607</v>
      </c>
    </row>
    <row r="23" spans="1:13">
      <c r="B23" s="169"/>
      <c r="C23" s="6"/>
      <c r="D23" s="6"/>
      <c r="E23" s="6"/>
      <c r="F23" s="6"/>
      <c r="G23" s="6"/>
      <c r="H23" s="6"/>
      <c r="I23" s="6"/>
      <c r="J23" s="6"/>
      <c r="K23" s="6"/>
      <c r="L23" s="6"/>
      <c r="M23" s="163"/>
    </row>
    <row r="24" spans="1:13">
      <c r="A24" s="2" t="s">
        <v>608</v>
      </c>
      <c r="B24" s="16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30"/>
    </row>
    <row r="25" spans="1:13" ht="30.75">
      <c r="A25" s="1" t="s">
        <v>306</v>
      </c>
      <c r="B25" s="170">
        <f>Historical!F48</f>
        <v>4923</v>
      </c>
      <c r="C25" s="47">
        <f>C11*Assumptions!C36</f>
        <v>5827.2173999999995</v>
      </c>
      <c r="D25" s="47">
        <f>D11*Assumptions!D36</f>
        <v>6244.3839599999992</v>
      </c>
      <c r="E25" s="47">
        <f>E11*Assumptions!E36</f>
        <v>6831.8272341000011</v>
      </c>
      <c r="F25" s="47">
        <f>F11*Assumptions!F36</f>
        <v>7399.4352490440015</v>
      </c>
      <c r="G25" s="47">
        <f>G11*Assumptions!G36</f>
        <v>7749.6344081730022</v>
      </c>
      <c r="H25" s="47">
        <f>H11*Assumptions!H36</f>
        <v>8089.6667849840578</v>
      </c>
      <c r="I25" s="47">
        <f>I11*Assumptions!I36</f>
        <v>8416.6258375097113</v>
      </c>
      <c r="J25" s="47">
        <f>J11*Assumptions!J36</f>
        <v>8727.6122841806482</v>
      </c>
      <c r="K25" s="47">
        <f>K11*Assumptions!K36</f>
        <v>9019.7780635679501</v>
      </c>
      <c r="L25" s="47">
        <f>L11*Assumptions!L36</f>
        <v>9290.3714054749889</v>
      </c>
      <c r="M25" s="163" t="s">
        <v>609</v>
      </c>
    </row>
    <row r="26" spans="1:13" ht="30.75">
      <c r="A26" s="1" t="s">
        <v>308</v>
      </c>
      <c r="B26" s="170">
        <f>Historical!F49</f>
        <v>2596</v>
      </c>
      <c r="C26" s="47">
        <f>C16*Assumptions!C37</f>
        <v>2905.8646153846157</v>
      </c>
      <c r="D26" s="47">
        <f>D16*Assumptions!D37</f>
        <v>3571.0866941538466</v>
      </c>
      <c r="E26" s="47">
        <f>E16*Assumptions!E37</f>
        <v>4048.2274980984621</v>
      </c>
      <c r="F26" s="47">
        <f>F16*Assumptions!F37</f>
        <v>4511.1754666289244</v>
      </c>
      <c r="G26" s="47">
        <f>G16*Assumptions!G37</f>
        <v>4979.9707017588044</v>
      </c>
      <c r="H26" s="47">
        <f>H16*Assumptions!H37</f>
        <v>5214.8040826112565</v>
      </c>
      <c r="I26" s="47">
        <f>I16*Assumptions!I37</f>
        <v>5438.5794772389918</v>
      </c>
      <c r="J26" s="47">
        <f>J16*Assumptions!J37</f>
        <v>5648.6728362258582</v>
      </c>
      <c r="K26" s="47">
        <f>K16*Assumptions!K37</f>
        <v>5842.5500101574298</v>
      </c>
      <c r="L26" s="47">
        <f>L16*Assumptions!L37</f>
        <v>6017.8265104621523</v>
      </c>
      <c r="M26" s="163" t="s">
        <v>609</v>
      </c>
    </row>
    <row r="27" spans="1:13" ht="30.75">
      <c r="A27" s="1" t="s">
        <v>310</v>
      </c>
      <c r="B27" s="170">
        <f>Historical!F50</f>
        <v>3227</v>
      </c>
      <c r="C27" s="47">
        <f>C17*Assumptions!C38</f>
        <v>4083.0608000000007</v>
      </c>
      <c r="D27" s="47">
        <f>D17*Assumptions!D38</f>
        <v>4368.8750560000017</v>
      </c>
      <c r="E27" s="47">
        <f>E17*Assumptions!E38</f>
        <v>4631.0075593600013</v>
      </c>
      <c r="F27" s="47">
        <f>F17*Assumptions!F38</f>
        <v>4862.5579373280016</v>
      </c>
      <c r="G27" s="47">
        <f>G17*Assumptions!G38</f>
        <v>5057.0602548211218</v>
      </c>
      <c r="H27" s="47">
        <f>H17*Assumptions!H38</f>
        <v>5249.2285445043244</v>
      </c>
      <c r="I27" s="47">
        <f>I17*Assumptions!I38</f>
        <v>5438.2007721064801</v>
      </c>
      <c r="J27" s="47">
        <f>J17*Assumptions!J38</f>
        <v>5623.0995983581006</v>
      </c>
      <c r="K27" s="47">
        <f>K17*Assumptions!K38</f>
        <v>5803.0387855055596</v>
      </c>
      <c r="L27" s="47">
        <f>L17*Assumptions!L38</f>
        <v>5977.129949070727</v>
      </c>
      <c r="M27" s="163" t="s">
        <v>609</v>
      </c>
    </row>
    <row r="28" spans="1:13">
      <c r="A28" s="7" t="s">
        <v>321</v>
      </c>
      <c r="B28" s="171">
        <f>B25+B26+B27</f>
        <v>10746</v>
      </c>
      <c r="C28" s="9">
        <f>C25+C26+C27</f>
        <v>12816.142815384615</v>
      </c>
      <c r="D28" s="9">
        <f>D25+D26+D27</f>
        <v>14184.345710153848</v>
      </c>
      <c r="E28" s="9">
        <f>E25+E26+E27</f>
        <v>15511.062291558464</v>
      </c>
      <c r="F28" s="9">
        <f>F25+F26+F27</f>
        <v>16773.168653000928</v>
      </c>
      <c r="G28" s="9">
        <f>G25+G26+G27</f>
        <v>17786.665364752927</v>
      </c>
      <c r="H28" s="9">
        <f>H25+H26+H27</f>
        <v>18553.699412099639</v>
      </c>
      <c r="I28" s="9">
        <f>I25+I26+I27</f>
        <v>19293.406086855182</v>
      </c>
      <c r="J28" s="9">
        <f>J25+J26+J27</f>
        <v>19999.384718764606</v>
      </c>
      <c r="K28" s="9">
        <f>K25+K26+K27</f>
        <v>20665.36685923094</v>
      </c>
      <c r="L28" s="9">
        <f>L25+L26+L27</f>
        <v>21285.327865007868</v>
      </c>
      <c r="M28" s="163" t="s">
        <v>596</v>
      </c>
    </row>
    <row r="29" spans="1:13" ht="20.25">
      <c r="A29" s="1" t="s">
        <v>313</v>
      </c>
      <c r="B29" s="170">
        <f>Historical!F52</f>
        <v>54</v>
      </c>
      <c r="C29" s="47">
        <f>C20*Assumptions!C39</f>
        <v>97.357470233640228</v>
      </c>
      <c r="D29" s="47">
        <f>D20*Assumptions!D39</f>
        <v>105.0130270030788</v>
      </c>
      <c r="E29" s="47">
        <f>E20*Assumptions!E39</f>
        <v>112.00409675827676</v>
      </c>
      <c r="F29" s="47">
        <f>F20*Assumptions!F39</f>
        <v>118.12690179705126</v>
      </c>
      <c r="G29" s="47">
        <f>G20*Assumptions!G39</f>
        <v>123.62753677146077</v>
      </c>
      <c r="H29" s="47">
        <f>H20*Assumptions!H39</f>
        <v>128.98083675572087</v>
      </c>
      <c r="I29" s="47">
        <f>I20*Assumptions!I39</f>
        <v>134.1408841110954</v>
      </c>
      <c r="J29" s="47">
        <f>J20*Assumptions!J39</f>
        <v>139.06196966320763</v>
      </c>
      <c r="K29" s="47">
        <f>K20*Assumptions!K39</f>
        <v>143.69941253931367</v>
      </c>
      <c r="L29" s="47">
        <f>L20*Assumptions!L39</f>
        <v>148.01039491549309</v>
      </c>
      <c r="M29" s="163" t="s">
        <v>610</v>
      </c>
    </row>
    <row r="30" spans="1:13" ht="20.25">
      <c r="A30" s="1" t="s">
        <v>611</v>
      </c>
      <c r="B30" s="170">
        <f>Historical!F53</f>
        <v>-248</v>
      </c>
      <c r="C30" s="47">
        <f>C20*Assumptions!C40</f>
        <v>-243.39367558410058</v>
      </c>
      <c r="D30" s="47">
        <f>D20*Assumptions!D40</f>
        <v>-262.53256750769702</v>
      </c>
      <c r="E30" s="47">
        <f>E20*Assumptions!E40</f>
        <v>-280.01024189569193</v>
      </c>
      <c r="F30" s="47">
        <f>F20*Assumptions!F40</f>
        <v>-295.31725449262819</v>
      </c>
      <c r="G30" s="47">
        <f>G20*Assumptions!G40</f>
        <v>-309.06884192865192</v>
      </c>
      <c r="H30" s="47">
        <f>H20*Assumptions!H40</f>
        <v>-322.45209188930221</v>
      </c>
      <c r="I30" s="47">
        <f>I20*Assumptions!I40</f>
        <v>-335.35221027773849</v>
      </c>
      <c r="J30" s="47">
        <f>J20*Assumptions!J40</f>
        <v>-347.65492415801907</v>
      </c>
      <c r="K30" s="47">
        <f>K20*Assumptions!K40</f>
        <v>-359.24853134828419</v>
      </c>
      <c r="L30" s="47">
        <f>L20*Assumptions!L40</f>
        <v>-370.02598728873272</v>
      </c>
      <c r="M30" s="163" t="s">
        <v>610</v>
      </c>
    </row>
    <row r="31" spans="1:13" ht="20.25">
      <c r="A31" s="1" t="s">
        <v>324</v>
      </c>
      <c r="B31" s="170">
        <f>Historical!F54</f>
        <v>753</v>
      </c>
      <c r="C31" s="47">
        <f>C17*Assumptions!C41</f>
        <v>690.97952000000009</v>
      </c>
      <c r="D31" s="47">
        <f>D17*Assumptions!D41</f>
        <v>672.13462400000014</v>
      </c>
      <c r="E31" s="47">
        <f>E17*Assumptions!E41</f>
        <v>641.21643129600011</v>
      </c>
      <c r="F31" s="47">
        <f>F17*Assumptions!F41</f>
        <v>598.46866920960019</v>
      </c>
      <c r="G31" s="47">
        <f>G17*Assumptions!G41</f>
        <v>583.50695247936017</v>
      </c>
      <c r="H31" s="47">
        <f>H17*Assumptions!H41</f>
        <v>605.68021667357596</v>
      </c>
      <c r="I31" s="47">
        <f>I17*Assumptions!I41</f>
        <v>627.48470447382465</v>
      </c>
      <c r="J31" s="47">
        <f>J17*Assumptions!J41</f>
        <v>648.81918442593462</v>
      </c>
      <c r="K31" s="47">
        <f>K17*Assumptions!K41</f>
        <v>669.58139832756456</v>
      </c>
      <c r="L31" s="47">
        <f>L17*Assumptions!L41</f>
        <v>689.6688402773915</v>
      </c>
      <c r="M31" s="163" t="s">
        <v>612</v>
      </c>
    </row>
    <row r="32" spans="1:13" ht="41.25">
      <c r="A32" s="1" t="s">
        <v>326</v>
      </c>
      <c r="B32" s="170">
        <f>Historical!F55</f>
        <v>-2005</v>
      </c>
      <c r="C32" s="47">
        <f>-Assumptions!C43</f>
        <v>-1857.3333333333333</v>
      </c>
      <c r="D32" s="47">
        <f>-Assumptions!D43</f>
        <v>-1767.8232931726907</v>
      </c>
      <c r="E32" s="47">
        <f>-Assumptions!E43</f>
        <v>-1673.6512717536812</v>
      </c>
      <c r="F32" s="47">
        <f>-Assumptions!F43</f>
        <v>-1526.3326639892905</v>
      </c>
      <c r="G32" s="47">
        <f>-Assumptions!G43</f>
        <v>-1517.9410977242301</v>
      </c>
      <c r="H32" s="47">
        <f>-Assumptions!H43</f>
        <v>-1214.3528781793841</v>
      </c>
      <c r="I32" s="47">
        <f>-Assumptions!I43</f>
        <v>-910.76465863453802</v>
      </c>
      <c r="J32" s="47">
        <f>-Assumptions!J43</f>
        <v>-607.17643908969205</v>
      </c>
      <c r="K32" s="47">
        <f>-Assumptions!K43</f>
        <v>-303.58821954484597</v>
      </c>
      <c r="L32" s="47">
        <f>-Assumptions!L43</f>
        <v>0</v>
      </c>
      <c r="M32" s="163" t="s">
        <v>613</v>
      </c>
    </row>
    <row r="33" spans="1:13">
      <c r="A33" s="7" t="s">
        <v>614</v>
      </c>
      <c r="B33" s="171">
        <f>B28+B29+B30+B31+B32</f>
        <v>9300</v>
      </c>
      <c r="C33" s="9">
        <f>C28+C29+C30+C31+C32</f>
        <v>11503.752796700823</v>
      </c>
      <c r="D33" s="9">
        <f>D28+D29+D30+D31+D32</f>
        <v>12931.13750047654</v>
      </c>
      <c r="E33" s="9">
        <f>E28+E29+E30+E31+E32</f>
        <v>14310.621305963368</v>
      </c>
      <c r="F33" s="9">
        <f>F28+F29+F30+F31+F32</f>
        <v>15668.114305525662</v>
      </c>
      <c r="G33" s="9">
        <f>G28+G29+G30+G31+G32</f>
        <v>16666.789914350869</v>
      </c>
      <c r="H33" s="9">
        <f>H28+H29+H30+H31+H32</f>
        <v>17751.555495460248</v>
      </c>
      <c r="I33" s="9">
        <f>I28+I29+I30+I31+I32</f>
        <v>18808.914806527828</v>
      </c>
      <c r="J33" s="9">
        <f>J28+J29+J30+J31+J32</f>
        <v>19832.434509606039</v>
      </c>
      <c r="K33" s="9">
        <f>K28+K29+K30+K31+K32</f>
        <v>20815.81091920469</v>
      </c>
      <c r="L33" s="9">
        <f>L28+L29+L30+L31+L32</f>
        <v>21752.981112912021</v>
      </c>
      <c r="M33" s="163" t="s">
        <v>596</v>
      </c>
    </row>
    <row r="34" spans="1:13">
      <c r="A34" s="1" t="s">
        <v>274</v>
      </c>
      <c r="B34" s="174">
        <f>B33/B20</f>
        <v>0.10496258591695541</v>
      </c>
      <c r="C34" s="15">
        <f>C33/C20</f>
        <v>0.11815993954129979</v>
      </c>
      <c r="D34" s="15">
        <f>D33/D20</f>
        <v>0.12313841310466576</v>
      </c>
      <c r="E34" s="15">
        <f>E33/E20</f>
        <v>0.1277687309674756</v>
      </c>
      <c r="F34" s="15">
        <f>F33/F20</f>
        <v>0.13263798565075696</v>
      </c>
      <c r="G34" s="15">
        <f>G33/G20</f>
        <v>0.13481454334208148</v>
      </c>
      <c r="H34" s="15">
        <f>H33/H20</f>
        <v>0.13762940249085404</v>
      </c>
      <c r="I34" s="15">
        <f>I33/I20</f>
        <v>0.14021761472028391</v>
      </c>
      <c r="J34" s="15">
        <f>J33/J20</f>
        <v>0.14261580328279511</v>
      </c>
      <c r="K34" s="15">
        <f>K33/K20</f>
        <v>0.14485661807079306</v>
      </c>
      <c r="L34" s="15">
        <f>L33/L20</f>
        <v>0.14696927959236877</v>
      </c>
      <c r="M34" s="163"/>
    </row>
    <row r="35" spans="1:13">
      <c r="A35" s="1" t="s">
        <v>615</v>
      </c>
      <c r="B35" s="174">
        <f>B25/B11</f>
        <v>0.16303483905153002</v>
      </c>
      <c r="C35" s="15">
        <f>C25/C11</f>
        <v>0.18</v>
      </c>
      <c r="D35" s="15">
        <f>D25/D11</f>
        <v>0.18</v>
      </c>
      <c r="E35" s="15">
        <f>E25/E11</f>
        <v>0.185</v>
      </c>
      <c r="F35" s="15">
        <f>F25/F11</f>
        <v>0.19</v>
      </c>
      <c r="G35" s="15">
        <f>G25/G11</f>
        <v>0.19</v>
      </c>
      <c r="H35" s="15">
        <f>H25/H11</f>
        <v>0.19</v>
      </c>
      <c r="I35" s="15">
        <f>I25/I11</f>
        <v>0.18999999999999997</v>
      </c>
      <c r="J35" s="15">
        <f>J25/J11</f>
        <v>0.19</v>
      </c>
      <c r="K35" s="15">
        <f>K25/K11</f>
        <v>0.19000000000000003</v>
      </c>
      <c r="L35" s="15">
        <f>L25/L11</f>
        <v>0.19</v>
      </c>
      <c r="M35" s="163"/>
    </row>
    <row r="36" spans="1:13">
      <c r="A36" s="1" t="s">
        <v>616</v>
      </c>
      <c r="B36" s="174">
        <f>B26/B16</f>
        <v>7.8867420099647589E-2</v>
      </c>
      <c r="C36" s="15">
        <f>C26/C16</f>
        <v>0.08</v>
      </c>
      <c r="D36" s="15">
        <f>D26/D16</f>
        <v>0.09</v>
      </c>
      <c r="E36" s="15">
        <f>E26/E16</f>
        <v>9.5000000000000001E-2</v>
      </c>
      <c r="F36" s="15">
        <f>F26/F16</f>
        <v>0.1</v>
      </c>
      <c r="G36" s="15">
        <f>G26/G16</f>
        <v>0.105</v>
      </c>
      <c r="H36" s="15">
        <f>H26/H16</f>
        <v>0.105</v>
      </c>
      <c r="I36" s="15">
        <f>I26/I16</f>
        <v>0.105</v>
      </c>
      <c r="J36" s="15">
        <f>J26/J16</f>
        <v>0.10500000000000001</v>
      </c>
      <c r="K36" s="15">
        <f>K26/K16</f>
        <v>0.105</v>
      </c>
      <c r="L36" s="15">
        <f>L26/L16</f>
        <v>0.105</v>
      </c>
      <c r="M36" s="163"/>
    </row>
    <row r="37" spans="1:13">
      <c r="A37" s="1" t="s">
        <v>617</v>
      </c>
      <c r="B37" s="174">
        <f>B27/B17</f>
        <v>0.11507328031950932</v>
      </c>
      <c r="C37" s="15">
        <f>C27/C17</f>
        <v>0.13</v>
      </c>
      <c r="D37" s="15">
        <f>D27/D17</f>
        <v>0.13</v>
      </c>
      <c r="E37" s="15">
        <f>E27/E17</f>
        <v>0.13</v>
      </c>
      <c r="F37" s="15">
        <f>F27/F17</f>
        <v>0.13</v>
      </c>
      <c r="G37" s="15">
        <f>G27/G17</f>
        <v>0.13</v>
      </c>
      <c r="H37" s="15">
        <f>H27/H17</f>
        <v>0.13</v>
      </c>
      <c r="I37" s="15">
        <f>I27/I17</f>
        <v>0.13</v>
      </c>
      <c r="J37" s="15">
        <f>J27/J17</f>
        <v>0.13</v>
      </c>
      <c r="K37" s="15">
        <f>K27/K17</f>
        <v>0.13</v>
      </c>
      <c r="L37" s="15">
        <f>L27/L17</f>
        <v>0.13</v>
      </c>
      <c r="M37" s="163"/>
    </row>
    <row r="38" spans="1:13">
      <c r="B38" s="169"/>
      <c r="C38" s="6"/>
      <c r="D38" s="6"/>
      <c r="E38" s="6"/>
      <c r="F38" s="6"/>
      <c r="G38" s="6"/>
      <c r="H38" s="6"/>
      <c r="I38" s="6"/>
      <c r="J38" s="6"/>
      <c r="K38" s="6"/>
      <c r="L38" s="6"/>
      <c r="M38" s="163"/>
    </row>
    <row r="39" spans="1:13">
      <c r="A39" s="2" t="s">
        <v>246</v>
      </c>
      <c r="B39" s="16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30"/>
    </row>
    <row r="40" spans="1:13" ht="20.25">
      <c r="A40" s="7" t="s">
        <v>252</v>
      </c>
      <c r="B40" s="175">
        <f>B20</f>
        <v>88603</v>
      </c>
      <c r="C40" s="14">
        <f>C20</f>
        <v>97357.470233640226</v>
      </c>
      <c r="D40" s="14">
        <f>D20</f>
        <v>105013.02700307881</v>
      </c>
      <c r="E40" s="14">
        <f>E20</f>
        <v>112004.09675827676</v>
      </c>
      <c r="F40" s="14">
        <f>F20</f>
        <v>118126.90179705127</v>
      </c>
      <c r="G40" s="14">
        <f>G20</f>
        <v>123627.53677146077</v>
      </c>
      <c r="H40" s="14">
        <f>H20</f>
        <v>128980.83675572088</v>
      </c>
      <c r="I40" s="14">
        <f>I20</f>
        <v>134140.88411109539</v>
      </c>
      <c r="J40" s="14">
        <f>J20</f>
        <v>139061.96966320762</v>
      </c>
      <c r="K40" s="14">
        <f>K20</f>
        <v>143699.41253931366</v>
      </c>
      <c r="L40" s="14">
        <f>L20</f>
        <v>148010.39491549309</v>
      </c>
      <c r="M40" s="163" t="s">
        <v>587</v>
      </c>
    </row>
    <row r="41" spans="1:13" ht="91.5">
      <c r="A41" s="1" t="s">
        <v>618</v>
      </c>
      <c r="B41" s="170">
        <f>Historical!F13</f>
        <v>70814</v>
      </c>
      <c r="C41" s="6">
        <f>C40-C44-C45+C46-C33</f>
        <v>76507.400294509935</v>
      </c>
      <c r="D41" s="6">
        <f>D40-D44-D45+D46-D33</f>
        <v>82000.638910306705</v>
      </c>
      <c r="E41" s="6">
        <f>E40-E44-E45+E46-E33</f>
        <v>86941.082163518804</v>
      </c>
      <c r="F41" s="6">
        <f>F40-F44-F45+F46-F33</f>
        <v>91118.604919008678</v>
      </c>
      <c r="G41" s="6">
        <f>G40-G44-G45+G46-G33</f>
        <v>95092.503327049679</v>
      </c>
      <c r="H41" s="6">
        <f>H40-H44-H45+H46-H33</f>
        <v>98847.120931711426</v>
      </c>
      <c r="I41" s="6">
        <f>I40-I44-I45+I46-I33</f>
        <v>102454.4444299024</v>
      </c>
      <c r="J41" s="6">
        <f>J40-J44-J45+J46-J33</f>
        <v>105879.58606593365</v>
      </c>
      <c r="K41" s="6">
        <f>K40-K44-K45+K46-K33</f>
        <v>109088.45801633489</v>
      </c>
      <c r="L41" s="6">
        <f>L40-L44-L45+L46-L33</f>
        <v>112048.41589069374</v>
      </c>
      <c r="M41" s="163" t="s">
        <v>619</v>
      </c>
    </row>
    <row r="42" spans="1:13">
      <c r="A42" s="1" t="s">
        <v>262</v>
      </c>
      <c r="B42" s="173">
        <f>B40-B41</f>
        <v>17789</v>
      </c>
      <c r="C42" s="12">
        <f>C40-C41</f>
        <v>20850.069939130291</v>
      </c>
      <c r="D42" s="12">
        <f>D40-D41</f>
        <v>23012.388092772104</v>
      </c>
      <c r="E42" s="12">
        <f>E40-E41</f>
        <v>25063.014594757959</v>
      </c>
      <c r="F42" s="12">
        <f>F40-F41</f>
        <v>27008.296878042587</v>
      </c>
      <c r="G42" s="12">
        <f>G40-G41</f>
        <v>28535.033444411092</v>
      </c>
      <c r="H42" s="12">
        <f>H40-H41</f>
        <v>30133.715824009458</v>
      </c>
      <c r="I42" s="12">
        <f>I40-I41</f>
        <v>31686.439681192991</v>
      </c>
      <c r="J42" s="12">
        <f>J40-J41</f>
        <v>33182.383597273976</v>
      </c>
      <c r="K42" s="12">
        <f>K40-K41</f>
        <v>34610.954522978776</v>
      </c>
      <c r="L42" s="12">
        <f>L40-L41</f>
        <v>35961.979024799351</v>
      </c>
      <c r="M42" s="163"/>
    </row>
    <row r="43" spans="1:13" ht="20.25">
      <c r="A43" s="1" t="s">
        <v>264</v>
      </c>
      <c r="B43" s="174">
        <f>B42/B40</f>
        <v>0.20077198288996986</v>
      </c>
      <c r="C43" s="15">
        <f>C42/C40</f>
        <v>0.21415993954129986</v>
      </c>
      <c r="D43" s="15">
        <f>D42/D40</f>
        <v>0.21913841310466575</v>
      </c>
      <c r="E43" s="15">
        <f>E42/E40</f>
        <v>0.22376873096747577</v>
      </c>
      <c r="F43" s="15">
        <f>F42/F40</f>
        <v>0.22863798565075699</v>
      </c>
      <c r="G43" s="15">
        <f>G42/G40</f>
        <v>0.23081454334208137</v>
      </c>
      <c r="H43" s="15">
        <f>H42/H40</f>
        <v>0.23362940249085407</v>
      </c>
      <c r="I43" s="15">
        <f>I42/I40</f>
        <v>0.23621761472028396</v>
      </c>
      <c r="J43" s="15">
        <f>J42/J40</f>
        <v>0.23861580328279514</v>
      </c>
      <c r="K43" s="15">
        <f>K42/K40</f>
        <v>0.24085661807079289</v>
      </c>
      <c r="L43" s="15">
        <f>L42/L40</f>
        <v>0.24296927959236872</v>
      </c>
      <c r="M43" s="163" t="s">
        <v>620</v>
      </c>
    </row>
    <row r="44" spans="1:13" ht="20.25">
      <c r="A44" s="1" t="s">
        <v>266</v>
      </c>
      <c r="B44" s="170">
        <f>Historical!F16</f>
        <v>2807</v>
      </c>
      <c r="C44" s="47">
        <f>C40*Assumptions!C44</f>
        <v>2920.7241070092068</v>
      </c>
      <c r="D44" s="47">
        <f>D40*Assumptions!D44</f>
        <v>3150.3908100923641</v>
      </c>
      <c r="E44" s="47">
        <f>E40*Assumptions!E44</f>
        <v>3360.1229027483027</v>
      </c>
      <c r="F44" s="47">
        <f>F40*Assumptions!F44</f>
        <v>3543.8070539115379</v>
      </c>
      <c r="G44" s="47">
        <f>G40*Assumptions!G44</f>
        <v>3708.8261031438228</v>
      </c>
      <c r="H44" s="47">
        <f>H40*Assumptions!H44</f>
        <v>3869.4251026716265</v>
      </c>
      <c r="I44" s="47">
        <f>I40*Assumptions!I44</f>
        <v>4024.2265233328617</v>
      </c>
      <c r="J44" s="47">
        <f>J40*Assumptions!J44</f>
        <v>4171.8590898962284</v>
      </c>
      <c r="K44" s="47">
        <f>K40*Assumptions!K44</f>
        <v>4310.9823761794096</v>
      </c>
      <c r="L44" s="47">
        <f>L40*Assumptions!L44</f>
        <v>4440.3118474647927</v>
      </c>
      <c r="M44" s="163" t="s">
        <v>610</v>
      </c>
    </row>
    <row r="45" spans="1:13" ht="20.25">
      <c r="A45" s="1" t="s">
        <v>268</v>
      </c>
      <c r="B45" s="170">
        <f>Historical!F17</f>
        <v>6095</v>
      </c>
      <c r="C45" s="47">
        <f>C40*Assumptions!C45</f>
        <v>6815.0229163548165</v>
      </c>
      <c r="D45" s="47">
        <f>D40*Assumptions!D45</f>
        <v>7350.9118902155169</v>
      </c>
      <c r="E45" s="47">
        <f>E40*Assumptions!E45</f>
        <v>7840.2867730793741</v>
      </c>
      <c r="F45" s="47">
        <f>F40*Assumptions!F45</f>
        <v>8268.883125793589</v>
      </c>
      <c r="G45" s="47">
        <f>G40*Assumptions!G45</f>
        <v>8653.9275740022549</v>
      </c>
      <c r="H45" s="47">
        <f>H40*Assumptions!H45</f>
        <v>9028.6585729004619</v>
      </c>
      <c r="I45" s="47">
        <f>I40*Assumptions!I45</f>
        <v>9389.8618877766785</v>
      </c>
      <c r="J45" s="47">
        <f>J40*Assumptions!J45</f>
        <v>9734.3378764245354</v>
      </c>
      <c r="K45" s="47">
        <f>K40*Assumptions!K45</f>
        <v>10058.958877751957</v>
      </c>
      <c r="L45" s="47">
        <f>L40*Assumptions!L45</f>
        <v>10360.727644084518</v>
      </c>
      <c r="M45" s="163" t="s">
        <v>610</v>
      </c>
    </row>
    <row r="46" spans="1:13" ht="20.25">
      <c r="A46" s="1" t="s">
        <v>621</v>
      </c>
      <c r="B46" s="170">
        <f>Historical!F18</f>
        <v>413</v>
      </c>
      <c r="C46" s="47">
        <f>C40*Assumptions!C46</f>
        <v>389.42988093456091</v>
      </c>
      <c r="D46" s="47">
        <f>D40*Assumptions!D46</f>
        <v>420.05210801231522</v>
      </c>
      <c r="E46" s="47">
        <f>E40*Assumptions!E46</f>
        <v>448.01638703310704</v>
      </c>
      <c r="F46" s="47">
        <f>F40*Assumptions!F46</f>
        <v>472.50760718820504</v>
      </c>
      <c r="G46" s="47">
        <f>G40*Assumptions!G46</f>
        <v>494.51014708584307</v>
      </c>
      <c r="H46" s="47">
        <f>H40*Assumptions!H46</f>
        <v>515.92334702288349</v>
      </c>
      <c r="I46" s="47">
        <f>I40*Assumptions!I46</f>
        <v>536.56353644438161</v>
      </c>
      <c r="J46" s="47">
        <f>J40*Assumptions!J46</f>
        <v>556.24787865283054</v>
      </c>
      <c r="K46" s="47">
        <f>K40*Assumptions!K46</f>
        <v>574.79765015725468</v>
      </c>
      <c r="L46" s="47">
        <f>L40*Assumptions!L46</f>
        <v>592.04157966197238</v>
      </c>
      <c r="M46" s="163" t="s">
        <v>610</v>
      </c>
    </row>
    <row r="47" spans="1:13" ht="30.75">
      <c r="A47" s="7" t="s">
        <v>272</v>
      </c>
      <c r="B47" s="171">
        <f>B42-B44-B45+B46</f>
        <v>9300</v>
      </c>
      <c r="C47" s="9">
        <f>C42-C44-C45+C46</f>
        <v>11503.752796700828</v>
      </c>
      <c r="D47" s="9">
        <f>D42-D44-D45+D46</f>
        <v>12931.137500476536</v>
      </c>
      <c r="E47" s="9">
        <f>E42-E44-E45+E46</f>
        <v>14310.62130596339</v>
      </c>
      <c r="F47" s="9">
        <f>F42-F44-F45+F46</f>
        <v>15668.114305525667</v>
      </c>
      <c r="G47" s="9">
        <f>G42-G44-G45+G46</f>
        <v>16666.789914350858</v>
      </c>
      <c r="H47" s="9">
        <f>H42-H44-H45+H46</f>
        <v>17751.555495460252</v>
      </c>
      <c r="I47" s="9">
        <f>I42-I44-I45+I46</f>
        <v>18808.914806527831</v>
      </c>
      <c r="J47" s="9">
        <f>J42-J44-J45+J46</f>
        <v>19832.434509606042</v>
      </c>
      <c r="K47" s="9">
        <f>K42-K44-K45+K46</f>
        <v>20815.810919204665</v>
      </c>
      <c r="L47" s="9">
        <f>L42-L44-L45+L46</f>
        <v>21752.981112912013</v>
      </c>
      <c r="M47" s="163" t="s">
        <v>622</v>
      </c>
    </row>
    <row r="48" spans="1:13" ht="20.25">
      <c r="A48" s="1" t="s">
        <v>163</v>
      </c>
      <c r="B48" s="170">
        <f>Historical!F22</f>
        <v>1182</v>
      </c>
      <c r="C48" s="47">
        <f>Assumptions!C48</f>
        <v>1397.3333333333333</v>
      </c>
      <c r="D48" s="47">
        <f>Assumptions!D48</f>
        <v>1397.3333333333333</v>
      </c>
      <c r="E48" s="47">
        <f>Assumptions!E48</f>
        <v>1397.3333333333333</v>
      </c>
      <c r="F48" s="47">
        <f>Assumptions!F48</f>
        <v>1397.3333333333333</v>
      </c>
      <c r="G48" s="47">
        <f>Assumptions!G48</f>
        <v>1397.3333333333333</v>
      </c>
      <c r="H48" s="47">
        <f>Assumptions!H48</f>
        <v>1397.3333333333333</v>
      </c>
      <c r="I48" s="47">
        <f>Assumptions!I48</f>
        <v>1397.3333333333333</v>
      </c>
      <c r="J48" s="47">
        <f>Assumptions!J48</f>
        <v>1397.3333333333333</v>
      </c>
      <c r="K48" s="47">
        <f>Assumptions!K48</f>
        <v>1397.3333333333333</v>
      </c>
      <c r="L48" s="47">
        <f>Assumptions!L48</f>
        <v>1397.3333333333333</v>
      </c>
      <c r="M48" s="163" t="s">
        <v>62</v>
      </c>
    </row>
    <row r="49" spans="1:13" ht="51">
      <c r="A49" s="1" t="s">
        <v>280</v>
      </c>
      <c r="B49" s="170">
        <f>Historical!F24</f>
        <v>1749</v>
      </c>
      <c r="C49" s="47">
        <f>Assumptions!C50*(B86+B87)</f>
        <v>1591.2072666518627</v>
      </c>
      <c r="D49" s="47">
        <f>Assumptions!D50*(C86+C87)</f>
        <v>1533.5496513315068</v>
      </c>
      <c r="E49" s="47">
        <f>Assumptions!E50*(D86+D87)</f>
        <v>1608.7477980794602</v>
      </c>
      <c r="F49" s="47">
        <f>Assumptions!F50*(E86+E87)</f>
        <v>1664.8971219738314</v>
      </c>
      <c r="G49" s="47">
        <f>Assumptions!G50*(F86+F87)</f>
        <v>1700.537846057628</v>
      </c>
      <c r="H49" s="47">
        <f>Assumptions!H50*(G86+G87)</f>
        <v>1795.6443686912783</v>
      </c>
      <c r="I49" s="47">
        <f>Assumptions!I50*(H86+H87)</f>
        <v>1872.8739093813128</v>
      </c>
      <c r="J49" s="47">
        <f>Assumptions!J50*(I86+I87)</f>
        <v>1947.3821505829171</v>
      </c>
      <c r="K49" s="47">
        <f>Assumptions!K50*(J86+J87)</f>
        <v>2018.5295448872685</v>
      </c>
      <c r="L49" s="47">
        <f>Assumptions!L50*(K86+K87)</f>
        <v>2085.6896667693295</v>
      </c>
      <c r="M49" s="163" t="s">
        <v>623</v>
      </c>
    </row>
    <row r="50" spans="1:13">
      <c r="A50" s="1" t="s">
        <v>282</v>
      </c>
      <c r="B50" s="173">
        <f>B47+B48-B49</f>
        <v>8733</v>
      </c>
      <c r="C50" s="12">
        <f>C47+C48-C49</f>
        <v>11309.878863382299</v>
      </c>
      <c r="D50" s="12">
        <f>D47+D48-D49</f>
        <v>12794.921182478363</v>
      </c>
      <c r="E50" s="12">
        <f>E47+E48-E49</f>
        <v>14099.206841217263</v>
      </c>
      <c r="F50" s="12">
        <f>F47+F48-F49</f>
        <v>15400.550516885171</v>
      </c>
      <c r="G50" s="12">
        <f>G47+G48-G49</f>
        <v>16363.585401626562</v>
      </c>
      <c r="H50" s="12">
        <f>H47+H48-H49</f>
        <v>17353.244460102305</v>
      </c>
      <c r="I50" s="12">
        <f>I47+I48-I49</f>
        <v>18333.374230479851</v>
      </c>
      <c r="J50" s="12">
        <f>J47+J48-J49</f>
        <v>19282.385692356456</v>
      </c>
      <c r="K50" s="12">
        <f>K47+K48-K49</f>
        <v>20194.61470765073</v>
      </c>
      <c r="L50" s="12">
        <f>L47+L48-L49</f>
        <v>21064.624779476017</v>
      </c>
      <c r="M50" s="163"/>
    </row>
    <row r="51" spans="1:13" ht="41.25">
      <c r="A51" s="1" t="s">
        <v>284</v>
      </c>
      <c r="B51" s="170">
        <f>Historical!F26</f>
        <v>1664</v>
      </c>
      <c r="C51" s="47">
        <f>C50*Assumptions!C49</f>
        <v>1913.8169418475943</v>
      </c>
      <c r="D51" s="47">
        <f>D50*Assumptions!D49</f>
        <v>2438.7760318868336</v>
      </c>
      <c r="E51" s="47">
        <f>E50*Assumptions!E49</f>
        <v>2687.3794080156445</v>
      </c>
      <c r="F51" s="47">
        <f>F50*Assumptions!F49</f>
        <v>2935.4220274428371</v>
      </c>
      <c r="G51" s="47">
        <f>G50*Assumptions!G49</f>
        <v>3118.9812976628418</v>
      </c>
      <c r="H51" s="47">
        <f>H50*Assumptions!H49</f>
        <v>3307.6152686837422</v>
      </c>
      <c r="I51" s="47">
        <f>I50*Assumptions!I49</f>
        <v>3494.4329096871784</v>
      </c>
      <c r="J51" s="47">
        <f>J50*Assumptions!J49</f>
        <v>3675.3192453044685</v>
      </c>
      <c r="K51" s="47">
        <f>K50*Assumptions!K49</f>
        <v>3849.1946624612369</v>
      </c>
      <c r="L51" s="47">
        <f>L50*Assumptions!L49</f>
        <v>4015.0229376344546</v>
      </c>
      <c r="M51" s="163" t="s">
        <v>624</v>
      </c>
    </row>
    <row r="52" spans="1:13">
      <c r="A52" s="1" t="s">
        <v>625</v>
      </c>
      <c r="B52" s="169">
        <f>B50-B51</f>
        <v>7069</v>
      </c>
      <c r="C52" s="6">
        <f>C50-C51</f>
        <v>9396.0619215347051</v>
      </c>
      <c r="D52" s="6">
        <f>D50-D51</f>
        <v>10356.14515059153</v>
      </c>
      <c r="E52" s="6">
        <f>E50-E51</f>
        <v>11411.827433201619</v>
      </c>
      <c r="F52" s="6">
        <f>F50-F51</f>
        <v>12465.128489442333</v>
      </c>
      <c r="G52" s="6">
        <f>G50-G51</f>
        <v>13244.60410396372</v>
      </c>
      <c r="H52" s="6">
        <f>H50-H51</f>
        <v>14045.629191418564</v>
      </c>
      <c r="I52" s="6">
        <f>I50-I51</f>
        <v>14838.941320792672</v>
      </c>
      <c r="J52" s="6">
        <f>J50-J51</f>
        <v>15607.066447051988</v>
      </c>
      <c r="K52" s="6">
        <f>K50-K51</f>
        <v>16345.420045189492</v>
      </c>
      <c r="L52" s="6">
        <f>L50-L51</f>
        <v>17049.601841841562</v>
      </c>
      <c r="M52" s="163"/>
    </row>
    <row r="53" spans="1:13" ht="20.25">
      <c r="A53" s="1" t="s">
        <v>468</v>
      </c>
      <c r="B53" s="170">
        <f>Historical!F29</f>
        <v>337</v>
      </c>
      <c r="C53" s="47">
        <f>C52*Assumptions!C51</f>
        <v>439.82128477242861</v>
      </c>
      <c r="D53" s="47">
        <f>D52*Assumptions!D51</f>
        <v>484.76192509797295</v>
      </c>
      <c r="E53" s="47">
        <f>E52*Assumptions!E51</f>
        <v>534.17747192242609</v>
      </c>
      <c r="F53" s="47">
        <f>F52*Assumptions!F51</f>
        <v>583.48155566267883</v>
      </c>
      <c r="G53" s="47">
        <f>G52*Assumptions!G51</f>
        <v>619.96811450940663</v>
      </c>
      <c r="H53" s="47">
        <f>H52*Assumptions!H51</f>
        <v>657.46338497924967</v>
      </c>
      <c r="I53" s="47">
        <f>I52*Assumptions!I51</f>
        <v>694.59761875512515</v>
      </c>
      <c r="J53" s="47">
        <f>J52*Assumptions!J51</f>
        <v>730.55287136186564</v>
      </c>
      <c r="K53" s="47">
        <f>K52*Assumptions!K51</f>
        <v>765.11454526962348</v>
      </c>
      <c r="L53" s="47">
        <f>L52*Assumptions!L51</f>
        <v>798.07666760377288</v>
      </c>
      <c r="M53" s="163" t="s">
        <v>626</v>
      </c>
    </row>
    <row r="54" spans="1:13">
      <c r="A54" s="7" t="s">
        <v>293</v>
      </c>
      <c r="B54" s="171">
        <f>B52-B53</f>
        <v>6732</v>
      </c>
      <c r="C54" s="9">
        <f>C52-C53</f>
        <v>8956.2406367622771</v>
      </c>
      <c r="D54" s="9">
        <f>D52-D53</f>
        <v>9871.3832254935569</v>
      </c>
      <c r="E54" s="9">
        <f>E52-E53</f>
        <v>10877.649961279192</v>
      </c>
      <c r="F54" s="9">
        <f>F52-F53</f>
        <v>11881.646933779655</v>
      </c>
      <c r="G54" s="9">
        <f>G52-G53</f>
        <v>12624.635989454313</v>
      </c>
      <c r="H54" s="9">
        <f>H52-H53</f>
        <v>13388.165806439314</v>
      </c>
      <c r="I54" s="9">
        <f>I52-I53</f>
        <v>14144.343702037546</v>
      </c>
      <c r="J54" s="9">
        <f>J52-J53</f>
        <v>14876.513575690122</v>
      </c>
      <c r="K54" s="9">
        <f>K52-K53</f>
        <v>15580.305499919868</v>
      </c>
      <c r="L54" s="9">
        <f>L52-L53</f>
        <v>16251.52517423779</v>
      </c>
      <c r="M54" s="163"/>
    </row>
    <row r="55" spans="1:13" ht="30.75">
      <c r="A55" s="1" t="s">
        <v>627</v>
      </c>
      <c r="B55" s="176">
        <f>Historical!F33</f>
        <v>1356.4</v>
      </c>
      <c r="C55" s="19">
        <f>(C66+C69)/2</f>
        <v>1361.8256000000001</v>
      </c>
      <c r="D55" s="19">
        <f>(D66+D69)/2</f>
        <v>1349.2190263607929</v>
      </c>
      <c r="E55" s="19">
        <f>(E66+E69)/2</f>
        <v>1318.1180656770914</v>
      </c>
      <c r="F55" s="19">
        <f>(F66+F69)/2</f>
        <v>1292.3205563288789</v>
      </c>
      <c r="G55" s="19">
        <f>(G66+G69)/2</f>
        <v>1263.7335804695497</v>
      </c>
      <c r="H55" s="19">
        <f>(H66+H69)/2</f>
        <v>1234.0074948955016</v>
      </c>
      <c r="I55" s="19">
        <f>(I66+I69)/2</f>
        <v>1207.4770746447921</v>
      </c>
      <c r="J55" s="19">
        <f>(J66+J69)/2</f>
        <v>1183.3256382013872</v>
      </c>
      <c r="K55" s="19">
        <f>(K66+K69)/2</f>
        <v>1161.4863596294931</v>
      </c>
      <c r="L55" s="19">
        <f>(L66+L69)/2</f>
        <v>1141.8851163066017</v>
      </c>
      <c r="M55" s="163" t="s">
        <v>628</v>
      </c>
    </row>
    <row r="56" spans="1:13">
      <c r="A56" s="7" t="s">
        <v>294</v>
      </c>
      <c r="B56" s="177">
        <f>B54/B55</f>
        <v>4.9631377174874665</v>
      </c>
      <c r="C56" s="59">
        <f>C54/C55</f>
        <v>6.5766428805291044</v>
      </c>
      <c r="D56" s="59">
        <f>D54/D55</f>
        <v>7.3163682342364647</v>
      </c>
      <c r="E56" s="59">
        <f>E54/E55</f>
        <v>8.2524094347281078</v>
      </c>
      <c r="F56" s="59">
        <f>F54/F55</f>
        <v>9.1940400356488095</v>
      </c>
      <c r="G56" s="59">
        <f>G54/G55</f>
        <v>9.9899505596452816</v>
      </c>
      <c r="H56" s="59">
        <f>H54/H55</f>
        <v>10.849339134340552</v>
      </c>
      <c r="I56" s="59">
        <f>I54/I55</f>
        <v>11.713964595309967</v>
      </c>
      <c r="J56" s="59">
        <f>J54/J55</f>
        <v>12.571783366666416</v>
      </c>
      <c r="K56" s="59">
        <f>K54/K55</f>
        <v>13.41410974889958</v>
      </c>
      <c r="L56" s="59">
        <f>L54/L55</f>
        <v>14.232189335125877</v>
      </c>
      <c r="M56" s="163"/>
    </row>
    <row r="57" spans="1:13">
      <c r="A57" s="1" t="s">
        <v>629</v>
      </c>
      <c r="B57" s="174"/>
      <c r="C57" s="15">
        <f>C56/B56-1</f>
        <v>0.32509780201272687</v>
      </c>
      <c r="D57" s="15">
        <f>D56/C56-1</f>
        <v>0.1124776526786031</v>
      </c>
      <c r="E57" s="15">
        <f>E56/D56-1</f>
        <v>0.12793795644559003</v>
      </c>
      <c r="F57" s="15">
        <f>F56/E56-1</f>
        <v>0.11410371823749976</v>
      </c>
      <c r="G57" s="15">
        <f>G56/F56-1</f>
        <v>8.6568094212166047E-2</v>
      </c>
      <c r="H57" s="15">
        <f>H56/G56-1</f>
        <v>8.6025308089791475E-2</v>
      </c>
      <c r="I57" s="15">
        <f>I56/H56-1</f>
        <v>7.9693836671828722E-2</v>
      </c>
      <c r="J57" s="15">
        <f>J56/I56-1</f>
        <v>7.3230439137565995E-2</v>
      </c>
      <c r="K57" s="15">
        <f>K56/J56-1</f>
        <v>6.700134401508695E-2</v>
      </c>
      <c r="L57" s="15">
        <f>L56/K56-1</f>
        <v>6.0986498659995503E-2</v>
      </c>
      <c r="M57" s="163"/>
    </row>
    <row r="58" spans="1:13" ht="20.25">
      <c r="A58" s="1" t="s">
        <v>200</v>
      </c>
      <c r="B58" s="178"/>
      <c r="C58" s="56">
        <f>Assumptions!C73</f>
        <v>2.8459981237347551</v>
      </c>
      <c r="D58" s="56">
        <f>Assumptions!D73</f>
        <v>3.045217992396188</v>
      </c>
      <c r="E58" s="56">
        <f>Assumptions!E73</f>
        <v>3.2583832518639211</v>
      </c>
      <c r="F58" s="56">
        <f>Assumptions!F73</f>
        <v>3.4864700794943957</v>
      </c>
      <c r="G58" s="56">
        <f>Assumptions!G73</f>
        <v>3.7305229850590038</v>
      </c>
      <c r="H58" s="56">
        <f>Assumptions!H73</f>
        <v>3.9618154101326621</v>
      </c>
      <c r="I58" s="56">
        <f>Assumptions!I73</f>
        <v>4.1757534422798264</v>
      </c>
      <c r="J58" s="56">
        <f>Assumptions!J73</f>
        <v>4.3678381006246987</v>
      </c>
      <c r="K58" s="56">
        <f>Assumptions!K73</f>
        <v>4.5338159484484377</v>
      </c>
      <c r="L58" s="56">
        <f>Assumptions!L73</f>
        <v>4.6698304269018909</v>
      </c>
      <c r="M58" s="163" t="s">
        <v>62</v>
      </c>
    </row>
    <row r="59" spans="1:13" ht="20.25">
      <c r="A59" s="1" t="s">
        <v>630</v>
      </c>
      <c r="B59" s="170">
        <f>Historical!F64+Historical!F65+Historical!F66+Historical!F67</f>
        <v>2295</v>
      </c>
      <c r="C59" s="47">
        <f>C40*Assumptions!C53</f>
        <v>2521.7587913073407</v>
      </c>
      <c r="D59" s="47">
        <f>D40*Assumptions!D53</f>
        <v>2720.0534628857472</v>
      </c>
      <c r="E59" s="47">
        <f>E40*Assumptions!E53</f>
        <v>2901.136553618333</v>
      </c>
      <c r="F59" s="47">
        <f>F40*Assumptions!F53</f>
        <v>3059.7298017474877</v>
      </c>
      <c r="G59" s="47">
        <f>G40*Assumptions!G53</f>
        <v>3202.2075650994038</v>
      </c>
      <c r="H59" s="47">
        <f>H40*Assumptions!H53</f>
        <v>3340.8690490658264</v>
      </c>
      <c r="I59" s="47">
        <f>I40*Assumptions!I53</f>
        <v>3474.5248923282948</v>
      </c>
      <c r="J59" s="47">
        <f>J40*Assumptions!J53</f>
        <v>3601.9911332241741</v>
      </c>
      <c r="K59" s="47">
        <f>K40*Assumptions!K53</f>
        <v>3722.1104452188397</v>
      </c>
      <c r="L59" s="47">
        <f>L40*Assumptions!L53</f>
        <v>3833.7737585754053</v>
      </c>
      <c r="M59" s="163" t="s">
        <v>610</v>
      </c>
    </row>
    <row r="60" spans="1:13" ht="20.25">
      <c r="A60" s="1" t="s">
        <v>631</v>
      </c>
      <c r="B60" s="170">
        <f>Historical!F68</f>
        <v>2083</v>
      </c>
      <c r="C60" s="47">
        <f>Assumptions!C43</f>
        <v>1857.3333333333333</v>
      </c>
      <c r="D60" s="47">
        <f>Assumptions!D43</f>
        <v>1767.8232931726907</v>
      </c>
      <c r="E60" s="47">
        <f>Assumptions!E43</f>
        <v>1673.6512717536812</v>
      </c>
      <c r="F60" s="47">
        <f>Assumptions!F43</f>
        <v>1526.3326639892905</v>
      </c>
      <c r="G60" s="47">
        <f>Assumptions!G43</f>
        <v>1517.9410977242301</v>
      </c>
      <c r="H60" s="47">
        <f>Assumptions!H43</f>
        <v>1214.3528781793841</v>
      </c>
      <c r="I60" s="47">
        <f>Assumptions!I43</f>
        <v>910.76465863453802</v>
      </c>
      <c r="J60" s="47">
        <f>Assumptions!J43</f>
        <v>607.17643908969205</v>
      </c>
      <c r="K60" s="47">
        <f>Assumptions!K43</f>
        <v>303.58821954484597</v>
      </c>
      <c r="L60" s="47">
        <f>Assumptions!L43</f>
        <v>0</v>
      </c>
      <c r="M60" s="163" t="s">
        <v>62</v>
      </c>
    </row>
    <row r="61" spans="1:13">
      <c r="A61" s="1" t="s">
        <v>632</v>
      </c>
      <c r="B61" s="173">
        <f>B59+B60</f>
        <v>4378</v>
      </c>
      <c r="C61" s="12">
        <f>C59+C60</f>
        <v>4379.0921246406742</v>
      </c>
      <c r="D61" s="12">
        <f>D59+D60</f>
        <v>4487.8767560584383</v>
      </c>
      <c r="E61" s="12">
        <f>E59+E60</f>
        <v>4574.7878253720137</v>
      </c>
      <c r="F61" s="12">
        <f>F59+F60</f>
        <v>4586.062465736778</v>
      </c>
      <c r="G61" s="12">
        <f>G59+G60</f>
        <v>4720.1486628236344</v>
      </c>
      <c r="H61" s="12">
        <f>H59+H60</f>
        <v>4555.2219272452103</v>
      </c>
      <c r="I61" s="12">
        <f>I59+I60</f>
        <v>4385.2895509628324</v>
      </c>
      <c r="J61" s="12">
        <f>J59+J60</f>
        <v>4209.167572313866</v>
      </c>
      <c r="K61" s="12">
        <f>K59+K60</f>
        <v>4025.6986647636859</v>
      </c>
      <c r="L61" s="12">
        <f>L59+L60</f>
        <v>3833.7737585754053</v>
      </c>
      <c r="M61" s="163"/>
    </row>
    <row r="62" spans="1:13" ht="30.75">
      <c r="A62" s="7" t="s">
        <v>633</v>
      </c>
      <c r="B62" s="175">
        <f>B47+B61</f>
        <v>13678</v>
      </c>
      <c r="C62" s="14">
        <f>C47+C61</f>
        <v>15882.844921341502</v>
      </c>
      <c r="D62" s="14">
        <f>D47+D61</f>
        <v>17419.014256534974</v>
      </c>
      <c r="E62" s="14">
        <f>E47+E61</f>
        <v>18885.409131335404</v>
      </c>
      <c r="F62" s="14">
        <f>F47+F61</f>
        <v>20254.176771262446</v>
      </c>
      <c r="G62" s="14">
        <f>G47+G61</f>
        <v>21386.938577174493</v>
      </c>
      <c r="H62" s="14">
        <f>H47+H61</f>
        <v>22306.777422705462</v>
      </c>
      <c r="I62" s="14">
        <f>I47+I61</f>
        <v>23194.204357490664</v>
      </c>
      <c r="J62" s="14">
        <f>J47+J61</f>
        <v>24041.602081919908</v>
      </c>
      <c r="K62" s="14">
        <f>K47+K61</f>
        <v>24841.509583968349</v>
      </c>
      <c r="L62" s="14">
        <f>L47+L61</f>
        <v>25586.754871487417</v>
      </c>
      <c r="M62" s="163" t="s">
        <v>634</v>
      </c>
    </row>
    <row r="63" spans="1:13">
      <c r="A63" s="1" t="s">
        <v>303</v>
      </c>
      <c r="B63" s="174">
        <f>B62/B40</f>
        <v>0.15437400539485119</v>
      </c>
      <c r="C63" s="15">
        <f>C62/C40</f>
        <v>0.16313945795043322</v>
      </c>
      <c r="D63" s="15">
        <f>D62/D40</f>
        <v>0.16587479433408084</v>
      </c>
      <c r="E63" s="15">
        <f>E62/E40</f>
        <v>0.1686135568067052</v>
      </c>
      <c r="F63" s="15">
        <f>F62/F40</f>
        <v>0.17146116983631954</v>
      </c>
      <c r="G63" s="15">
        <f>G62/G40</f>
        <v>0.17299494219245526</v>
      </c>
      <c r="H63" s="15">
        <f>H62/H40</f>
        <v>0.17294644680397497</v>
      </c>
      <c r="I63" s="15">
        <f>I62/I40</f>
        <v>0.17290928497445446</v>
      </c>
      <c r="J63" s="15">
        <f>J62/J40</f>
        <v>0.17288409002221061</v>
      </c>
      <c r="K63" s="15">
        <f>K62/K40</f>
        <v>0.17287133708477856</v>
      </c>
      <c r="L63" s="15">
        <f>L62/L40</f>
        <v>0.17287133708477867</v>
      </c>
      <c r="M63" s="163"/>
    </row>
    <row r="64" spans="1:13">
      <c r="B64" s="169"/>
      <c r="C64" s="6"/>
      <c r="D64" s="6"/>
      <c r="E64" s="6"/>
      <c r="F64" s="6"/>
      <c r="G64" s="6"/>
      <c r="H64" s="6"/>
      <c r="I64" s="6"/>
      <c r="J64" s="6"/>
      <c r="K64" s="6"/>
      <c r="L64" s="6"/>
      <c r="M64" s="163"/>
    </row>
    <row r="65" spans="1:13">
      <c r="A65" s="2" t="s">
        <v>635</v>
      </c>
      <c r="B65" s="168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30"/>
    </row>
    <row r="66" spans="1:13" ht="51">
      <c r="A66" s="1" t="s">
        <v>636</v>
      </c>
      <c r="B66" s="179"/>
      <c r="C66" s="57">
        <f>Historical!F33</f>
        <v>1356.4</v>
      </c>
      <c r="D66" s="19">
        <f>C69</f>
        <v>1367.2512000000002</v>
      </c>
      <c r="E66" s="19">
        <f>D69</f>
        <v>1331.1868527215856</v>
      </c>
      <c r="F66" s="19">
        <f>E69</f>
        <v>1305.0492786325972</v>
      </c>
      <c r="G66" s="19">
        <f>F69</f>
        <v>1279.5918340251608</v>
      </c>
      <c r="H66" s="19">
        <f>G69</f>
        <v>1247.8753269139386</v>
      </c>
      <c r="I66" s="19">
        <f>H69</f>
        <v>1220.1396628770649</v>
      </c>
      <c r="J66" s="19">
        <f>I69</f>
        <v>1194.8144864125193</v>
      </c>
      <c r="K66" s="19">
        <f>J69</f>
        <v>1171.8367899902551</v>
      </c>
      <c r="L66" s="19">
        <f>K69</f>
        <v>1151.1359292687312</v>
      </c>
      <c r="M66" s="163" t="s">
        <v>637</v>
      </c>
    </row>
    <row r="67" spans="1:13" ht="20.25">
      <c r="A67" s="1" t="s">
        <v>638</v>
      </c>
      <c r="B67" s="179"/>
      <c r="C67" s="57">
        <f>C66*Assumptions!C75</f>
        <v>10.8512</v>
      </c>
      <c r="D67" s="57">
        <f>D66*Assumptions!D75</f>
        <v>10.938009600000001</v>
      </c>
      <c r="E67" s="57">
        <f>E66*Assumptions!E75</f>
        <v>10.649494821772686</v>
      </c>
      <c r="F67" s="57">
        <f>F66*Assumptions!F75</f>
        <v>10.440394229060777</v>
      </c>
      <c r="G67" s="57">
        <f>G66*Assumptions!G75</f>
        <v>10.236734672201287</v>
      </c>
      <c r="H67" s="57">
        <f>H66*Assumptions!H75</f>
        <v>9.9830026153115092</v>
      </c>
      <c r="I67" s="57">
        <f>I66*Assumptions!I75</f>
        <v>9.761117303016519</v>
      </c>
      <c r="J67" s="57">
        <f>J66*Assumptions!J75</f>
        <v>9.5585158913001536</v>
      </c>
      <c r="K67" s="57">
        <f>K66*Assumptions!K75</f>
        <v>9.3746943199220407</v>
      </c>
      <c r="L67" s="57">
        <f>L66*Assumptions!L75</f>
        <v>9.2090874341498488</v>
      </c>
      <c r="M67" s="163" t="s">
        <v>639</v>
      </c>
    </row>
    <row r="68" spans="1:13" ht="41.25">
      <c r="A68" s="1" t="s">
        <v>640</v>
      </c>
      <c r="B68" s="179"/>
      <c r="C68" s="57">
        <f>C139/Assumptions!C77</f>
        <v>0</v>
      </c>
      <c r="D68" s="57">
        <f>D139/Assumptions!D77</f>
        <v>47.002356878414517</v>
      </c>
      <c r="E68" s="57">
        <f>E139/Assumptions!E77</f>
        <v>36.78706891076105</v>
      </c>
      <c r="F68" s="57">
        <f>F139/Assumptions!F77</f>
        <v>35.897838836497229</v>
      </c>
      <c r="G68" s="57">
        <f>G139/Assumptions!G77</f>
        <v>41.953241783423501</v>
      </c>
      <c r="H68" s="57">
        <f>H139/Assumptions!H77</f>
        <v>37.718666652185206</v>
      </c>
      <c r="I68" s="57">
        <f>I139/Assumptions!I77</f>
        <v>35.086293767562147</v>
      </c>
      <c r="J68" s="57">
        <f>J139/Assumptions!J77</f>
        <v>32.536212313564455</v>
      </c>
      <c r="K68" s="57">
        <f>K139/Assumptions!K77</f>
        <v>30.075555041446059</v>
      </c>
      <c r="L68" s="57">
        <f>L139/Assumptions!L77</f>
        <v>27.710713358408547</v>
      </c>
      <c r="M68" s="163" t="s">
        <v>641</v>
      </c>
    </row>
    <row r="69" spans="1:13">
      <c r="A69" s="7" t="s">
        <v>642</v>
      </c>
      <c r="B69" s="180"/>
      <c r="C69" s="60">
        <f>C66+C67-C68</f>
        <v>1367.2512000000002</v>
      </c>
      <c r="D69" s="60">
        <f>D66+D67-D68</f>
        <v>1331.1868527215856</v>
      </c>
      <c r="E69" s="60">
        <f>E66+E67-E68</f>
        <v>1305.0492786325972</v>
      </c>
      <c r="F69" s="60">
        <f>F66+F67-F68</f>
        <v>1279.5918340251608</v>
      </c>
      <c r="G69" s="60">
        <f>G66+G67-G68</f>
        <v>1247.8753269139386</v>
      </c>
      <c r="H69" s="60">
        <f>H66+H67-H68</f>
        <v>1220.1396628770649</v>
      </c>
      <c r="I69" s="60">
        <f>I66+I67-I68</f>
        <v>1194.8144864125193</v>
      </c>
      <c r="J69" s="60">
        <f>J66+J67-J68</f>
        <v>1171.8367899902551</v>
      </c>
      <c r="K69" s="60">
        <f>K66+K67-K68</f>
        <v>1151.1359292687312</v>
      </c>
      <c r="L69" s="60">
        <f>L66+L67-L68</f>
        <v>1132.6343033444723</v>
      </c>
      <c r="M69" s="163"/>
    </row>
    <row r="70" spans="1:13">
      <c r="B70" s="169"/>
      <c r="C70" s="6"/>
      <c r="D70" s="6"/>
      <c r="E70" s="6"/>
      <c r="F70" s="6"/>
      <c r="G70" s="6"/>
      <c r="H70" s="6"/>
      <c r="I70" s="6"/>
      <c r="J70" s="6"/>
      <c r="K70" s="6"/>
      <c r="L70" s="6"/>
      <c r="M70" s="163"/>
    </row>
    <row r="71" spans="1:13">
      <c r="A71" s="2" t="s">
        <v>401</v>
      </c>
      <c r="B71" s="168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30"/>
    </row>
    <row r="72" spans="1:13" ht="30.75">
      <c r="A72" s="1" t="s">
        <v>409</v>
      </c>
      <c r="B72" s="170">
        <f>Historical!F106</f>
        <v>7435</v>
      </c>
      <c r="C72" s="6">
        <f>C140</f>
        <v>10941.437997847161</v>
      </c>
      <c r="D72" s="6">
        <f>D140</f>
        <v>9723.0900936572452</v>
      </c>
      <c r="E72" s="6">
        <f>E140</f>
        <v>10370.388843352739</v>
      </c>
      <c r="F72" s="6">
        <f>F140</f>
        <v>10937.295509286268</v>
      </c>
      <c r="G72" s="6">
        <f>G140</f>
        <v>11446.595840443635</v>
      </c>
      <c r="H72" s="6">
        <f>H140</f>
        <v>11942.25451756956</v>
      </c>
      <c r="I72" s="6">
        <f>I140</f>
        <v>12420.020055385865</v>
      </c>
      <c r="J72" s="6">
        <f>J140</f>
        <v>12875.660270198256</v>
      </c>
      <c r="K72" s="6">
        <f>K140</f>
        <v>13305.038188113584</v>
      </c>
      <c r="L72" s="6">
        <f>L140</f>
        <v>13704.189333756993</v>
      </c>
      <c r="M72" s="163" t="s">
        <v>643</v>
      </c>
    </row>
    <row r="73" spans="1:13" ht="20.25">
      <c r="A73" s="1" t="s">
        <v>644</v>
      </c>
      <c r="B73" s="170">
        <f>Historical!F107</f>
        <v>14701</v>
      </c>
      <c r="C73" s="47">
        <f>C40*Assumptions!C57/Assumptions!$C$9</f>
        <v>15522.075568595326</v>
      </c>
      <c r="D73" s="47">
        <f>D40*Assumptions!D57/Assumptions!$C$9</f>
        <v>16742.630400286478</v>
      </c>
      <c r="E73" s="47">
        <f>E40*Assumptions!E57/Assumptions!$C$9</f>
        <v>17857.243514052538</v>
      </c>
      <c r="F73" s="47">
        <f>F40*Assumptions!F57/Assumptions!$C$9</f>
        <v>18833.425847832972</v>
      </c>
      <c r="G73" s="47">
        <f>G40*Assumptions!G57/Assumptions!$C$9</f>
        <v>19710.413217606889</v>
      </c>
      <c r="H73" s="47">
        <f>H40*Assumptions!H57/Assumptions!$C$9</f>
        <v>20563.910403776932</v>
      </c>
      <c r="I73" s="47">
        <f>I40*Assumptions!I57/Assumptions!$C$9</f>
        <v>21386.596580764082</v>
      </c>
      <c r="J73" s="47">
        <f>J40*Assumptions!J57/Assumptions!$C$9</f>
        <v>22171.184159263168</v>
      </c>
      <c r="K73" s="47">
        <f>K40*Assumptions!K57/Assumptions!$C$9</f>
        <v>22910.549496049513</v>
      </c>
      <c r="L73" s="47">
        <f>L40*Assumptions!L57/Assumptions!$C$9</f>
        <v>23597.865980930997</v>
      </c>
      <c r="M73" s="163" t="s">
        <v>645</v>
      </c>
    </row>
    <row r="74" spans="1:13" ht="20.25">
      <c r="A74" s="1" t="s">
        <v>646</v>
      </c>
      <c r="B74" s="170">
        <f>Historical!F108</f>
        <v>17092</v>
      </c>
      <c r="C74" s="47">
        <f>C40*Assumptions!C58</f>
        <v>18874.395738498402</v>
      </c>
      <c r="D74" s="47">
        <f>D40*Assumptions!D58</f>
        <v>20358.555174011308</v>
      </c>
      <c r="E74" s="47">
        <f>E40*Assumptions!E58</f>
        <v>21713.892539273493</v>
      </c>
      <c r="F74" s="47">
        <f>F40*Assumptions!F58</f>
        <v>22900.902072842604</v>
      </c>
      <c r="G74" s="47">
        <f>G40*Assumptions!G58</f>
        <v>23967.293394133903</v>
      </c>
      <c r="H74" s="47">
        <f>H40*Assumptions!H58</f>
        <v>25005.121330370788</v>
      </c>
      <c r="I74" s="47">
        <f>I40*Assumptions!I58</f>
        <v>26005.48396901583</v>
      </c>
      <c r="J74" s="47">
        <f>J40*Assumptions!J58</f>
        <v>26959.519811881015</v>
      </c>
      <c r="K74" s="47">
        <f>K40*Assumptions!K58</f>
        <v>27858.566714478751</v>
      </c>
      <c r="L74" s="47">
        <f>L40*Assumptions!L58</f>
        <v>28694.323715913117</v>
      </c>
      <c r="M74" s="163" t="s">
        <v>610</v>
      </c>
    </row>
    <row r="75" spans="1:13" ht="30.75">
      <c r="A75" s="1" t="s">
        <v>647</v>
      </c>
      <c r="B75" s="170">
        <f>Historical!F109</f>
        <v>13364</v>
      </c>
      <c r="C75" s="47">
        <f>C41*Assumptions!C59/Assumptions!$C$9</f>
        <v>14771.680112054964</v>
      </c>
      <c r="D75" s="47">
        <f>D41*Assumptions!D59/Assumptions!$C$9</f>
        <v>15832.288148655058</v>
      </c>
      <c r="E75" s="47">
        <f>E41*Assumptions!E59/Assumptions!$C$9</f>
        <v>16786.165120912421</v>
      </c>
      <c r="F75" s="47">
        <f>F41*Assumptions!F59/Assumptions!$C$9</f>
        <v>17592.741080458589</v>
      </c>
      <c r="G75" s="47">
        <f>G41*Assumptions!G59/Assumptions!$C$9</f>
        <v>18360.002232391864</v>
      </c>
      <c r="H75" s="47">
        <f>H41*Assumptions!H59/Assumptions!$C$9</f>
        <v>19084.925703659432</v>
      </c>
      <c r="I75" s="47">
        <f>I41*Assumptions!I59/Assumptions!$C$9</f>
        <v>19781.410338751652</v>
      </c>
      <c r="J75" s="47">
        <f>J41*Assumptions!J59/Assumptions!$C$9</f>
        <v>20442.720177945925</v>
      </c>
      <c r="K75" s="47">
        <f>K41*Assumptions!K59/Assumptions!$C$9</f>
        <v>21062.273708577057</v>
      </c>
      <c r="L75" s="47">
        <f>L41*Assumptions!L59/Assumptions!$C$9</f>
        <v>21633.768109077875</v>
      </c>
      <c r="M75" s="163" t="s">
        <v>648</v>
      </c>
    </row>
    <row r="76" spans="1:13" ht="20.25">
      <c r="A76" s="1" t="s">
        <v>649</v>
      </c>
      <c r="B76" s="170">
        <f>Historical!F110</f>
        <v>7740</v>
      </c>
      <c r="C76" s="47">
        <f>C40*Assumptions!C62</f>
        <v>8593.9931148345186</v>
      </c>
      <c r="D76" s="47">
        <f>D40*Assumptions!D62</f>
        <v>9269.768707697518</v>
      </c>
      <c r="E76" s="47">
        <f>E40*Assumptions!E62</f>
        <v>9886.8883308483146</v>
      </c>
      <c r="F76" s="47">
        <f>F40*Assumptions!F62</f>
        <v>10427.3640048816</v>
      </c>
      <c r="G76" s="47">
        <f>G40*Assumptions!G62</f>
        <v>10912.919134691856</v>
      </c>
      <c r="H76" s="47">
        <f>H40*Assumptions!H62</f>
        <v>11385.468627771006</v>
      </c>
      <c r="I76" s="47">
        <f>I40*Assumptions!I62</f>
        <v>11840.959216607052</v>
      </c>
      <c r="J76" s="47">
        <f>J40*Assumptions!J62</f>
        <v>12275.356035370642</v>
      </c>
      <c r="K76" s="47">
        <f>K40*Assumptions!K62</f>
        <v>12684.714989049809</v>
      </c>
      <c r="L76" s="47">
        <f>L40*Assumptions!L62</f>
        <v>13065.256438721304</v>
      </c>
      <c r="M76" s="163" t="s">
        <v>610</v>
      </c>
    </row>
    <row r="77" spans="1:13">
      <c r="A77" s="7" t="s">
        <v>419</v>
      </c>
      <c r="B77" s="171">
        <f>SUM(B72:B76)</f>
        <v>60332</v>
      </c>
      <c r="C77" s="9">
        <f>SUM(C72:C76)</f>
        <v>68703.582531830369</v>
      </c>
      <c r="D77" s="9">
        <f>SUM(D72:D76)</f>
        <v>71926.332524307596</v>
      </c>
      <c r="E77" s="9">
        <f>SUM(E72:E76)</f>
        <v>76614.578348439507</v>
      </c>
      <c r="F77" s="9">
        <f>SUM(F72:F76)</f>
        <v>80691.728515302035</v>
      </c>
      <c r="G77" s="9">
        <f>SUM(G72:G76)</f>
        <v>84397.22381926814</v>
      </c>
      <c r="H77" s="9">
        <f>SUM(H72:H76)</f>
        <v>87981.68058314771</v>
      </c>
      <c r="I77" s="9">
        <f>SUM(I72:I76)</f>
        <v>91434.470160524477</v>
      </c>
      <c r="J77" s="9">
        <f>SUM(J72:J76)</f>
        <v>94724.440454659009</v>
      </c>
      <c r="K77" s="9">
        <f>SUM(K72:K76)</f>
        <v>97821.143096268715</v>
      </c>
      <c r="L77" s="9">
        <f>SUM(L72:L76)</f>
        <v>100695.40357840029</v>
      </c>
      <c r="M77" s="163"/>
    </row>
    <row r="78" spans="1:13" ht="20.25">
      <c r="A78" s="1" t="s">
        <v>420</v>
      </c>
      <c r="B78" s="170">
        <f>Historical!F112</f>
        <v>2132</v>
      </c>
      <c r="C78" s="47">
        <f>C40*Assumptions!C64</f>
        <v>2124.7477465411594</v>
      </c>
      <c r="D78" s="47">
        <f>D40*Assumptions!D64</f>
        <v>2291.8240577409761</v>
      </c>
      <c r="E78" s="47">
        <f>E40*Assumptions!E64</f>
        <v>2444.3984793300065</v>
      </c>
      <c r="F78" s="47">
        <f>F40*Assumptions!F64</f>
        <v>2578.0237283984834</v>
      </c>
      <c r="G78" s="47">
        <f>G40*Assumptions!G64</f>
        <v>2698.0706209314785</v>
      </c>
      <c r="H78" s="47">
        <f>H40*Assumptions!H64</f>
        <v>2814.9020469208654</v>
      </c>
      <c r="I78" s="47">
        <f>I40*Assumptions!I64</f>
        <v>2927.5158911802382</v>
      </c>
      <c r="J78" s="47">
        <f>J40*Assumptions!J64</f>
        <v>3034.9145880885908</v>
      </c>
      <c r="K78" s="47">
        <f>K40*Assumptions!K64</f>
        <v>3136.1230138732103</v>
      </c>
      <c r="L78" s="47">
        <f>L40*Assumptions!L64</f>
        <v>3230.2067042894068</v>
      </c>
      <c r="M78" s="163" t="s">
        <v>610</v>
      </c>
    </row>
    <row r="79" spans="1:13" ht="41.25">
      <c r="A79" s="1" t="s">
        <v>422</v>
      </c>
      <c r="B79" s="170">
        <f>Historical!F113</f>
        <v>16868</v>
      </c>
      <c r="C79" s="6">
        <f>B79-C121-C59</f>
        <v>17169.607845468225</v>
      </c>
      <c r="D79" s="6">
        <f>C79-D121-D59</f>
        <v>17599.945192674844</v>
      </c>
      <c r="E79" s="6">
        <f>D79-E121-E59</f>
        <v>18058.931541804814</v>
      </c>
      <c r="F79" s="6">
        <f>E79-F121-F59</f>
        <v>18424.881892171812</v>
      </c>
      <c r="G79" s="6">
        <f>F79-G121-G59</f>
        <v>18684.245356673309</v>
      </c>
      <c r="H79" s="6">
        <f>G79-H121-H59</f>
        <v>19248.383936577306</v>
      </c>
      <c r="I79" s="6">
        <f>H79-I121-I59</f>
        <v>20140.379439564658</v>
      </c>
      <c r="J79" s="6">
        <f>I79-J121-J59</f>
        <v>21381.586236859144</v>
      </c>
      <c r="K79" s="6">
        <f>J79-K121-K59</f>
        <v>22991.226668306121</v>
      </c>
      <c r="L79" s="6">
        <f>K79-L121-L59</f>
        <v>24986.009399029506</v>
      </c>
      <c r="M79" s="163" t="s">
        <v>650</v>
      </c>
    </row>
    <row r="80" spans="1:13" ht="20.25">
      <c r="A80" s="1" t="s">
        <v>424</v>
      </c>
      <c r="B80" s="170">
        <f>Historical!F114</f>
        <v>1887</v>
      </c>
      <c r="C80" s="47">
        <f>C40*Assumptions!C67</f>
        <v>1934.3587922038635</v>
      </c>
      <c r="D80" s="47">
        <f>D40*Assumptions!D67</f>
        <v>2086.4641572122332</v>
      </c>
      <c r="E80" s="47">
        <f>E40*Assumptions!E67</f>
        <v>2225.3670807929748</v>
      </c>
      <c r="F80" s="47">
        <f>F40*Assumptions!F67</f>
        <v>2347.0187807732727</v>
      </c>
      <c r="G80" s="47">
        <f>G40*Assumptions!G67</f>
        <v>2456.3088188147144</v>
      </c>
      <c r="H80" s="47">
        <f>H40*Assumptions!H67</f>
        <v>2562.6715136033913</v>
      </c>
      <c r="I80" s="47">
        <f>I40*Assumptions!I67</f>
        <v>2665.194544923982</v>
      </c>
      <c r="J80" s="47">
        <f>J40*Assumptions!J67</f>
        <v>2762.969734460763</v>
      </c>
      <c r="K80" s="47">
        <f>K40*Assumptions!K67</f>
        <v>2855.1093348346367</v>
      </c>
      <c r="L80" s="47">
        <f>L40*Assumptions!L67</f>
        <v>2940.7626148796758</v>
      </c>
      <c r="M80" s="163" t="s">
        <v>610</v>
      </c>
    </row>
    <row r="81" spans="1:13" ht="41.25">
      <c r="A81" s="1" t="s">
        <v>426</v>
      </c>
      <c r="B81" s="170">
        <f>Historical!F115</f>
        <v>53343</v>
      </c>
      <c r="C81" s="6">
        <f>B81</f>
        <v>53343</v>
      </c>
      <c r="D81" s="6">
        <f>C81</f>
        <v>53343</v>
      </c>
      <c r="E81" s="6">
        <f>D81</f>
        <v>53343</v>
      </c>
      <c r="F81" s="6">
        <f>E81</f>
        <v>53343</v>
      </c>
      <c r="G81" s="6">
        <f>F81</f>
        <v>53343</v>
      </c>
      <c r="H81" s="6">
        <f>G81</f>
        <v>53343</v>
      </c>
      <c r="I81" s="6">
        <f>H81</f>
        <v>53343</v>
      </c>
      <c r="J81" s="6">
        <f>I81</f>
        <v>53343</v>
      </c>
      <c r="K81" s="6">
        <f>J81</f>
        <v>53343</v>
      </c>
      <c r="L81" s="6">
        <f>K81</f>
        <v>53343</v>
      </c>
      <c r="M81" s="163" t="s">
        <v>651</v>
      </c>
    </row>
    <row r="82" spans="1:13" ht="41.25">
      <c r="A82" s="1" t="s">
        <v>428</v>
      </c>
      <c r="B82" s="170">
        <f>Historical!F116</f>
        <v>31845</v>
      </c>
      <c r="C82" s="6">
        <f>B82-C122-C60</f>
        <v>30447.64276112245</v>
      </c>
      <c r="D82" s="6">
        <f>C82-D122-D60</f>
        <v>29175.965083811963</v>
      </c>
      <c r="E82" s="6">
        <f>D82-E122-E60</f>
        <v>28031.489507218426</v>
      </c>
      <c r="F82" s="6">
        <f>E82-F122-F60</f>
        <v>27063.26040537361</v>
      </c>
      <c r="G82" s="6">
        <f>F82-G122-G60</f>
        <v>26129.411225761651</v>
      </c>
      <c r="H82" s="6">
        <f>G82-H122-H60</f>
        <v>25524.442521268771</v>
      </c>
      <c r="I82" s="6">
        <f>H82-I122-I60</f>
        <v>25247.44124855824</v>
      </c>
      <c r="J82" s="6">
        <f>I82-J122-J60</f>
        <v>25297.278406262976</v>
      </c>
      <c r="K82" s="6">
        <f>J82-K122-K60</f>
        <v>25672.613893309928</v>
      </c>
      <c r="L82" s="6">
        <f>K82-L122-L60</f>
        <v>26371.905311099479</v>
      </c>
      <c r="M82" s="163" t="s">
        <v>652</v>
      </c>
    </row>
    <row r="83" spans="1:13" ht="20.25">
      <c r="A83" s="1" t="s">
        <v>430</v>
      </c>
      <c r="B83" s="170">
        <f>Historical!F117</f>
        <v>4672</v>
      </c>
      <c r="C83" s="47">
        <f>C40*Assumptions!C65</f>
        <v>5620.292730408607</v>
      </c>
      <c r="D83" s="47">
        <f>D40*Assumptions!D65</f>
        <v>6062.2359110936677</v>
      </c>
      <c r="E83" s="47">
        <f>E40*Assumptions!E65</f>
        <v>6465.8193077105398</v>
      </c>
      <c r="F83" s="47">
        <f>F40*Assumptions!F65</f>
        <v>6819.2791559024772</v>
      </c>
      <c r="G83" s="47">
        <f>G40*Assumptions!G65</f>
        <v>7136.8221105942357</v>
      </c>
      <c r="H83" s="47">
        <f>H40*Assumptions!H65</f>
        <v>7445.8596493987061</v>
      </c>
      <c r="I83" s="47">
        <f>I40*Assumptions!I65</f>
        <v>7743.7410196764922</v>
      </c>
      <c r="J83" s="47">
        <f>J40*Assumptions!J65</f>
        <v>8027.8275031058702</v>
      </c>
      <c r="K83" s="47">
        <f>K40*Assumptions!K65</f>
        <v>8295.5397435915311</v>
      </c>
      <c r="L83" s="47">
        <f>L40*Assumptions!L65</f>
        <v>8544.4059358992781</v>
      </c>
      <c r="M83" s="163" t="s">
        <v>610</v>
      </c>
    </row>
    <row r="84" spans="1:13" ht="51">
      <c r="A84" s="1" t="s">
        <v>653</v>
      </c>
      <c r="B84" s="170">
        <f>Assumptions!C93</f>
        <v>0</v>
      </c>
      <c r="C84" s="6">
        <f>B84+C48</f>
        <v>1397.3333333333333</v>
      </c>
      <c r="D84" s="6">
        <f>C84+D48</f>
        <v>2794.6666666666665</v>
      </c>
      <c r="E84" s="6">
        <f>D84+E48</f>
        <v>4192</v>
      </c>
      <c r="F84" s="6">
        <f>E84+F48</f>
        <v>5589.333333333333</v>
      </c>
      <c r="G84" s="6">
        <f>F84+G48</f>
        <v>6986.6666666666661</v>
      </c>
      <c r="H84" s="6">
        <f>G84+H48</f>
        <v>8384</v>
      </c>
      <c r="I84" s="6">
        <f>H84+I48</f>
        <v>9781.3333333333339</v>
      </c>
      <c r="J84" s="6">
        <f>I84+J48</f>
        <v>11178.666666666668</v>
      </c>
      <c r="K84" s="6">
        <f>J84+K48</f>
        <v>12576.000000000002</v>
      </c>
      <c r="L84" s="6">
        <f>K84+L48</f>
        <v>13973.333333333336</v>
      </c>
      <c r="M84" s="163" t="s">
        <v>654</v>
      </c>
    </row>
    <row r="85" spans="1:13">
      <c r="A85" s="7" t="s">
        <v>432</v>
      </c>
      <c r="B85" s="171">
        <f>B77+SUM(B78:B84)</f>
        <v>171079</v>
      </c>
      <c r="C85" s="9">
        <f>C77+SUM(C78:C84)</f>
        <v>180740.565740908</v>
      </c>
      <c r="D85" s="9">
        <f>D77+SUM(D78:D84)</f>
        <v>185280.43359350794</v>
      </c>
      <c r="E85" s="9">
        <f>E77+SUM(E78:E84)</f>
        <v>191375.58426529629</v>
      </c>
      <c r="F85" s="9">
        <f>F77+SUM(F78:F84)</f>
        <v>196856.52581125504</v>
      </c>
      <c r="G85" s="9">
        <f>G77+SUM(G78:G84)</f>
        <v>201831.7486187102</v>
      </c>
      <c r="H85" s="9">
        <f>H77+SUM(H78:H84)</f>
        <v>207304.94025091676</v>
      </c>
      <c r="I85" s="9">
        <f>I77+SUM(I78:I84)</f>
        <v>213283.07563776145</v>
      </c>
      <c r="J85" s="9">
        <f>J77+SUM(J78:J84)</f>
        <v>219750.68359010303</v>
      </c>
      <c r="K85" s="9">
        <f>K77+SUM(K78:K84)</f>
        <v>226690.75575018415</v>
      </c>
      <c r="L85" s="9">
        <f>L77+SUM(L78:L84)</f>
        <v>234085.02687693096</v>
      </c>
      <c r="M85" s="163"/>
    </row>
    <row r="86" spans="1:13" ht="41.25">
      <c r="A86" s="1" t="s">
        <v>655</v>
      </c>
      <c r="B86" s="170">
        <f>Historical!F142</f>
        <v>37904</v>
      </c>
      <c r="C86" s="47">
        <f>C62*Assumptions!C70</f>
        <v>36530.543319085453</v>
      </c>
      <c r="D86" s="47">
        <f>D62*Assumptions!D70</f>
        <v>38321.831364376943</v>
      </c>
      <c r="E86" s="47">
        <f>E62*Assumptions!E70</f>
        <v>39659.359175804348</v>
      </c>
      <c r="F86" s="47">
        <f>F62*Assumptions!F70</f>
        <v>40508.353542524892</v>
      </c>
      <c r="G86" s="47">
        <f>G62*Assumptions!G70</f>
        <v>42773.877154348986</v>
      </c>
      <c r="H86" s="47">
        <f>H62*Assumptions!H70</f>
        <v>44613.554845410923</v>
      </c>
      <c r="I86" s="47">
        <f>I62*Assumptions!I70</f>
        <v>46388.408714981328</v>
      </c>
      <c r="J86" s="47">
        <f>J62*Assumptions!J70</f>
        <v>48083.204163839815</v>
      </c>
      <c r="K86" s="47">
        <f>K62*Assumptions!K70</f>
        <v>49683.019167936698</v>
      </c>
      <c r="L86" s="47">
        <f>L62*Assumptions!L70</f>
        <v>51173.509742974835</v>
      </c>
      <c r="M86" s="163" t="s">
        <v>656</v>
      </c>
    </row>
    <row r="87" spans="1:13" ht="51">
      <c r="A87" s="1" t="s">
        <v>657</v>
      </c>
      <c r="B87" s="170">
        <f>Assumptions!C92</f>
        <v>0</v>
      </c>
      <c r="C87" s="6">
        <f>C138</f>
        <v>0</v>
      </c>
      <c r="D87" s="6">
        <f>D138</f>
        <v>0</v>
      </c>
      <c r="E87" s="6">
        <f>E138</f>
        <v>0</v>
      </c>
      <c r="F87" s="6">
        <f>F138</f>
        <v>0</v>
      </c>
      <c r="G87" s="6">
        <f>G138</f>
        <v>0</v>
      </c>
      <c r="H87" s="6">
        <f>H138</f>
        <v>0</v>
      </c>
      <c r="I87" s="6">
        <f>I138</f>
        <v>0</v>
      </c>
      <c r="J87" s="6">
        <f>J138</f>
        <v>0</v>
      </c>
      <c r="K87" s="6">
        <f>K138</f>
        <v>0</v>
      </c>
      <c r="L87" s="6">
        <f>L138</f>
        <v>0</v>
      </c>
      <c r="M87" s="163" t="s">
        <v>658</v>
      </c>
    </row>
    <row r="88" spans="1:13" ht="30.75">
      <c r="A88" s="1" t="s">
        <v>435</v>
      </c>
      <c r="B88" s="170">
        <f>Historical!F120</f>
        <v>15895</v>
      </c>
      <c r="C88" s="47">
        <f>C41*Assumptions!C60/Assumptions!$C$9</f>
        <v>17578.40166259095</v>
      </c>
      <c r="D88" s="47">
        <f>D41*Assumptions!D60/Assumptions!$C$9</f>
        <v>18840.532573394619</v>
      </c>
      <c r="E88" s="47">
        <f>E41*Assumptions!E60/Assumptions!$C$9</f>
        <v>19975.652778262327</v>
      </c>
      <c r="F88" s="47">
        <f>F41*Assumptions!F60/Assumptions!$C$9</f>
        <v>20935.483757591581</v>
      </c>
      <c r="G88" s="47">
        <f>G41*Assumptions!G60/Assumptions!$C$9</f>
        <v>21848.529843512344</v>
      </c>
      <c r="H88" s="47">
        <f>H41*Assumptions!H60/Assumptions!$C$9</f>
        <v>22711.193796151125</v>
      </c>
      <c r="I88" s="47">
        <f>I41*Assumptions!I60/Assumptions!$C$9</f>
        <v>23540.015336734225</v>
      </c>
      <c r="J88" s="47">
        <f>J41*Assumptions!J60/Assumptions!$C$9</f>
        <v>24326.9786265291</v>
      </c>
      <c r="K88" s="47">
        <f>K41*Assumptions!K60/Assumptions!$C$9</f>
        <v>25064.251619871451</v>
      </c>
      <c r="L88" s="47">
        <f>L41*Assumptions!L60/Assumptions!$C$9</f>
        <v>25744.333915434207</v>
      </c>
      <c r="M88" s="163" t="s">
        <v>659</v>
      </c>
    </row>
    <row r="89" spans="1:13" ht="20.25">
      <c r="A89" s="1" t="s">
        <v>660</v>
      </c>
      <c r="B89" s="170">
        <f>Historical!F121+Historical!F122</f>
        <v>17658</v>
      </c>
      <c r="C89" s="47">
        <f>C40*Assumptions!C63</f>
        <v>18807.53928558905</v>
      </c>
      <c r="D89" s="47">
        <f>D40*Assumptions!D63</f>
        <v>20286.441565493635</v>
      </c>
      <c r="E89" s="47">
        <f>E40*Assumptions!E63</f>
        <v>21636.978085738454</v>
      </c>
      <c r="F89" s="47">
        <f>F40*Assumptions!F63</f>
        <v>22819.783021285806</v>
      </c>
      <c r="G89" s="47">
        <f>G40*Assumptions!G63</f>
        <v>23882.39699562822</v>
      </c>
      <c r="H89" s="47">
        <f>H40*Assumptions!H63</f>
        <v>24916.548761485486</v>
      </c>
      <c r="I89" s="47">
        <f>I40*Assumptions!I63</f>
        <v>25913.367938471176</v>
      </c>
      <c r="J89" s="47">
        <f>J40*Assumptions!J63</f>
        <v>26864.024417393481</v>
      </c>
      <c r="K89" s="47">
        <f>K40*Assumptions!K63</f>
        <v>27759.886736614902</v>
      </c>
      <c r="L89" s="47">
        <f>L40*Assumptions!L63</f>
        <v>28592.683338713352</v>
      </c>
      <c r="M89" s="163" t="s">
        <v>610</v>
      </c>
    </row>
    <row r="90" spans="1:13" ht="20.25">
      <c r="A90" s="1" t="s">
        <v>441</v>
      </c>
      <c r="B90" s="170">
        <f>Historical!F123</f>
        <v>21615</v>
      </c>
      <c r="C90" s="47">
        <f>C40*Assumptions!C61</f>
        <v>22804.183076932928</v>
      </c>
      <c r="D90" s="47">
        <f>D40*Assumptions!D61</f>
        <v>24597.355369795237</v>
      </c>
      <c r="E90" s="47">
        <f>E40*Assumptions!E61</f>
        <v>26234.883894504746</v>
      </c>
      <c r="F90" s="47">
        <f>F40*Assumptions!F61</f>
        <v>27669.037500935821</v>
      </c>
      <c r="G90" s="47">
        <f>G40*Assumptions!G61</f>
        <v>28957.459300462735</v>
      </c>
      <c r="H90" s="47">
        <f>H40*Assumptions!H61</f>
        <v>30211.37060910547</v>
      </c>
      <c r="I90" s="47">
        <f>I40*Assumptions!I61</f>
        <v>31420.016070981335</v>
      </c>
      <c r="J90" s="47">
        <f>J40*Assumptions!J61</f>
        <v>32572.689159120397</v>
      </c>
      <c r="K90" s="47">
        <f>K40*Assumptions!K61</f>
        <v>33658.92420715269</v>
      </c>
      <c r="L90" s="47">
        <f>L40*Assumptions!L61</f>
        <v>34668.69193336727</v>
      </c>
      <c r="M90" s="163" t="s">
        <v>610</v>
      </c>
    </row>
    <row r="91" spans="1:13" ht="20.25">
      <c r="A91" s="1" t="s">
        <v>448</v>
      </c>
      <c r="B91" s="170">
        <f>Historical!F127</f>
        <v>1602</v>
      </c>
      <c r="C91" s="47">
        <f>C40*Assumptions!C68</f>
        <v>1638.3158190301556</v>
      </c>
      <c r="D91" s="47">
        <f>D40*Assumptions!D68</f>
        <v>1767.1422945821146</v>
      </c>
      <c r="E91" s="47">
        <f>E40*Assumptions!E68</f>
        <v>1884.7868897466929</v>
      </c>
      <c r="F91" s="47">
        <f>F40*Assumptions!F68</f>
        <v>1987.8204661922293</v>
      </c>
      <c r="G91" s="47">
        <f>G40*Assumptions!G68</f>
        <v>2080.3842650631223</v>
      </c>
      <c r="H91" s="47">
        <f>H40*Assumptions!H68</f>
        <v>2170.4687344641848</v>
      </c>
      <c r="I91" s="47">
        <f>I40*Assumptions!I68</f>
        <v>2257.3011797708186</v>
      </c>
      <c r="J91" s="47">
        <f>J40*Assumptions!J68</f>
        <v>2340.1124143630709</v>
      </c>
      <c r="K91" s="47">
        <f>K40*Assumptions!K68</f>
        <v>2418.1505557151459</v>
      </c>
      <c r="L91" s="47">
        <f>L40*Assumptions!L68</f>
        <v>2490.6950723866003</v>
      </c>
      <c r="M91" s="163" t="s">
        <v>610</v>
      </c>
    </row>
    <row r="92" spans="1:13" ht="20.25">
      <c r="A92" s="1" t="s">
        <v>661</v>
      </c>
      <c r="B92" s="170">
        <f>Historical!F128</f>
        <v>2067</v>
      </c>
      <c r="C92" s="6">
        <f>B92</f>
        <v>2067</v>
      </c>
      <c r="D92" s="6">
        <f>C92</f>
        <v>2067</v>
      </c>
      <c r="E92" s="6">
        <f>D92</f>
        <v>2067</v>
      </c>
      <c r="F92" s="6">
        <f>E92</f>
        <v>2067</v>
      </c>
      <c r="G92" s="6">
        <f>F92</f>
        <v>2067</v>
      </c>
      <c r="H92" s="6">
        <f>G92</f>
        <v>2067</v>
      </c>
      <c r="I92" s="6">
        <f>H92</f>
        <v>2067</v>
      </c>
      <c r="J92" s="6">
        <f>I92</f>
        <v>2067</v>
      </c>
      <c r="K92" s="6">
        <f>J92</f>
        <v>2067</v>
      </c>
      <c r="L92" s="6">
        <f>K92</f>
        <v>2067</v>
      </c>
      <c r="M92" s="163" t="s">
        <v>662</v>
      </c>
    </row>
    <row r="93" spans="1:13" ht="20.25">
      <c r="A93" s="1" t="s">
        <v>452</v>
      </c>
      <c r="B93" s="170">
        <f>Historical!F129</f>
        <v>7200</v>
      </c>
      <c r="C93" s="47">
        <f>C40*Assumptions!C66</f>
        <v>7763.2984193343118</v>
      </c>
      <c r="D93" s="47">
        <f>D40*Assumptions!D66</f>
        <v>8373.7535967817112</v>
      </c>
      <c r="E93" s="47">
        <f>E40*Assumptions!E66</f>
        <v>8931.2224859150974</v>
      </c>
      <c r="F93" s="47">
        <f>F40*Assumptions!F66</f>
        <v>9419.4558239973139</v>
      </c>
      <c r="G93" s="47">
        <f>G40*Assumptions!G66</f>
        <v>9858.0772333220302</v>
      </c>
      <c r="H93" s="47">
        <f>H40*Assumptions!H66</f>
        <v>10284.950129734541</v>
      </c>
      <c r="I93" s="47">
        <f>I40*Assumptions!I66</f>
        <v>10696.413034240328</v>
      </c>
      <c r="J93" s="47">
        <f>J40*Assumptions!J66</f>
        <v>11088.821090822319</v>
      </c>
      <c r="K93" s="47">
        <f>K40*Assumptions!K66</f>
        <v>11458.611440380799</v>
      </c>
      <c r="L93" s="47">
        <f>L40*Assumptions!L66</f>
        <v>11802.369783592225</v>
      </c>
      <c r="M93" s="163" t="s">
        <v>610</v>
      </c>
    </row>
    <row r="94" spans="1:13">
      <c r="A94" s="7" t="s">
        <v>454</v>
      </c>
      <c r="B94" s="171">
        <f>SUM(B86:B93)</f>
        <v>103941</v>
      </c>
      <c r="C94" s="9">
        <f>SUM(C86:C93)</f>
        <v>107189.28158256285</v>
      </c>
      <c r="D94" s="9">
        <f>SUM(D86:D93)</f>
        <v>114254.05676442425</v>
      </c>
      <c r="E94" s="9">
        <f>SUM(E86:E93)</f>
        <v>120389.88330997167</v>
      </c>
      <c r="F94" s="9">
        <f>SUM(F86:F93)</f>
        <v>125406.93411252766</v>
      </c>
      <c r="G94" s="9">
        <f>SUM(G86:G93)</f>
        <v>131467.72479233745</v>
      </c>
      <c r="H94" s="9">
        <f>SUM(H86:H93)</f>
        <v>136975.08687635174</v>
      </c>
      <c r="I94" s="9">
        <f>SUM(I86:I93)</f>
        <v>142282.52227517922</v>
      </c>
      <c r="J94" s="9">
        <f>SUM(J86:J93)</f>
        <v>147342.82987206816</v>
      </c>
      <c r="K94" s="9">
        <f>SUM(K86:K93)</f>
        <v>152109.84372767169</v>
      </c>
      <c r="L94" s="9">
        <f>SUM(L86:L93)</f>
        <v>156539.2837864685</v>
      </c>
      <c r="M94" s="163"/>
    </row>
    <row r="95" spans="1:13" ht="20.25">
      <c r="A95" s="1" t="s">
        <v>455</v>
      </c>
      <c r="B95" s="170">
        <f>Historical!F131</f>
        <v>36</v>
      </c>
      <c r="C95" s="6">
        <f>B95</f>
        <v>36</v>
      </c>
      <c r="D95" s="6">
        <f>C95</f>
        <v>36</v>
      </c>
      <c r="E95" s="6">
        <f>D95</f>
        <v>36</v>
      </c>
      <c r="F95" s="6">
        <f>E95</f>
        <v>36</v>
      </c>
      <c r="G95" s="6">
        <f>F95</f>
        <v>36</v>
      </c>
      <c r="H95" s="6">
        <f>G95</f>
        <v>36</v>
      </c>
      <c r="I95" s="6">
        <f>H95</f>
        <v>36</v>
      </c>
      <c r="J95" s="6">
        <f>I95</f>
        <v>36</v>
      </c>
      <c r="K95" s="6">
        <f>J95</f>
        <v>36</v>
      </c>
      <c r="L95" s="6">
        <f>K95</f>
        <v>36</v>
      </c>
      <c r="M95" s="163" t="s">
        <v>662</v>
      </c>
    </row>
    <row r="96" spans="1:13" ht="51">
      <c r="A96" s="1" t="s">
        <v>457</v>
      </c>
      <c r="B96" s="170">
        <f>Historical!F132</f>
        <v>38126</v>
      </c>
      <c r="C96" s="6">
        <f>B96+C109</f>
        <v>39325.895686321404</v>
      </c>
      <c r="D96" s="6">
        <f>C96+D109</f>
        <v>40620.143347093188</v>
      </c>
      <c r="E96" s="6">
        <f>D96+E109</f>
        <v>42000.553419664524</v>
      </c>
      <c r="F96" s="6">
        <f>E96+F109</f>
        <v>43456.424854744371</v>
      </c>
      <c r="G96" s="6">
        <f>F96+G109</f>
        <v>44980.089630817813</v>
      </c>
      <c r="H96" s="6">
        <f>G96+H109</f>
        <v>46569.731897301419</v>
      </c>
      <c r="I96" s="6">
        <f>H96+I109</f>
        <v>48222.969885285078</v>
      </c>
      <c r="J96" s="6">
        <f>I96+J109</f>
        <v>49936.858476779977</v>
      </c>
      <c r="K96" s="6">
        <f>J96+K109</f>
        <v>51707.901878165154</v>
      </c>
      <c r="L96" s="6">
        <f>K96+L109</f>
        <v>53532.076581591886</v>
      </c>
      <c r="M96" s="163" t="s">
        <v>663</v>
      </c>
    </row>
    <row r="97" spans="1:13" ht="20.25">
      <c r="A97" s="1" t="s">
        <v>459</v>
      </c>
      <c r="B97" s="170">
        <f>Historical!F133</f>
        <v>-26881</v>
      </c>
      <c r="C97" s="6">
        <f>B97+C128</f>
        <v>-26881</v>
      </c>
      <c r="D97" s="6">
        <f>C97+D128</f>
        <v>-36537.421902879083</v>
      </c>
      <c r="E97" s="6">
        <f>D97+E128</f>
        <v>-44641.299536506012</v>
      </c>
      <c r="F97" s="6">
        <f>E97+F128</f>
        <v>-53120.737834491156</v>
      </c>
      <c r="G97" s="6">
        <f>F97+G128</f>
        <v>-63746.629843650771</v>
      </c>
      <c r="H97" s="6">
        <f>G97+H128</f>
        <v>-73990.340361607363</v>
      </c>
      <c r="I97" s="6">
        <f>H97+I128</f>
        <v>-84207.72051402909</v>
      </c>
      <c r="J97" s="6">
        <f>I97+J128</f>
        <v>-94367.169229550345</v>
      </c>
      <c r="K97" s="6">
        <f>J97+K128</f>
        <v>-104436.9007602893</v>
      </c>
      <c r="L97" s="6">
        <f>K97+L128</f>
        <v>-114385.29618403537</v>
      </c>
      <c r="M97" s="163" t="s">
        <v>664</v>
      </c>
    </row>
    <row r="98" spans="1:13" ht="30.75">
      <c r="A98" s="1" t="s">
        <v>461</v>
      </c>
      <c r="B98" s="170">
        <f>Historical!F134</f>
        <v>56718</v>
      </c>
      <c r="C98" s="6">
        <f>B98+C54+C126</f>
        <v>61813.928781728449</v>
      </c>
      <c r="D98" s="6">
        <f>C98+D54+D126</f>
        <v>67521.734052856729</v>
      </c>
      <c r="E98" s="6">
        <f>D98+E54+E126</f>
        <v>74061.867068126463</v>
      </c>
      <c r="F98" s="6">
        <f>E98+F54+F126</f>
        <v>81393.498739687828</v>
      </c>
      <c r="G98" s="6">
        <f>F98+G54+G126</f>
        <v>89244.58798081748</v>
      </c>
      <c r="H98" s="6">
        <f>G98+H54+H126</f>
        <v>97688.90208716481</v>
      </c>
      <c r="I98" s="6">
        <f>H98+I54+I126</f>
        <v>106738.2433918813</v>
      </c>
      <c r="J98" s="6">
        <f>I98+J54+J126</f>
        <v>116396.00073064049</v>
      </c>
      <c r="K98" s="6">
        <f>J98+K54+K126</f>
        <v>126663.41390312392</v>
      </c>
      <c r="L98" s="6">
        <f>K98+L54+L126</f>
        <v>137539.32948936263</v>
      </c>
      <c r="M98" s="163" t="s">
        <v>665</v>
      </c>
    </row>
    <row r="99" spans="1:13" ht="20.25">
      <c r="A99" s="1" t="s">
        <v>465</v>
      </c>
      <c r="B99" s="170">
        <f>Historical!F136</f>
        <v>-2718</v>
      </c>
      <c r="C99" s="6">
        <f>B99</f>
        <v>-2718</v>
      </c>
      <c r="D99" s="6">
        <f>C99</f>
        <v>-2718</v>
      </c>
      <c r="E99" s="6">
        <f>D99</f>
        <v>-2718</v>
      </c>
      <c r="F99" s="6">
        <f>E99</f>
        <v>-2718</v>
      </c>
      <c r="G99" s="6">
        <f>F99</f>
        <v>-2718</v>
      </c>
      <c r="H99" s="6">
        <f>G99</f>
        <v>-2718</v>
      </c>
      <c r="I99" s="6">
        <f>H99</f>
        <v>-2718</v>
      </c>
      <c r="J99" s="6">
        <f>I99</f>
        <v>-2718</v>
      </c>
      <c r="K99" s="6">
        <f>J99</f>
        <v>-2718</v>
      </c>
      <c r="L99" s="6">
        <f>K99</f>
        <v>-2718</v>
      </c>
      <c r="M99" s="163" t="s">
        <v>662</v>
      </c>
    </row>
    <row r="100" spans="1:13">
      <c r="A100" s="1" t="s">
        <v>467</v>
      </c>
      <c r="B100" s="173">
        <f>SUM(B96:B99)</f>
        <v>65245</v>
      </c>
      <c r="C100" s="12">
        <f>SUM(C96:C99)</f>
        <v>71540.824468049861</v>
      </c>
      <c r="D100" s="12">
        <f>SUM(D96:D99)</f>
        <v>68886.455497070827</v>
      </c>
      <c r="E100" s="12">
        <f>SUM(E96:E99)</f>
        <v>68703.120951284975</v>
      </c>
      <c r="F100" s="12">
        <f>SUM(F96:F99)</f>
        <v>69011.185759941043</v>
      </c>
      <c r="G100" s="12">
        <f>SUM(G96:G99)</f>
        <v>67760.047767984521</v>
      </c>
      <c r="H100" s="12">
        <f>SUM(H96:H99)</f>
        <v>67550.293622858866</v>
      </c>
      <c r="I100" s="12">
        <f>SUM(I96:I99)</f>
        <v>68035.492763137299</v>
      </c>
      <c r="J100" s="12">
        <f>SUM(J96:J99)</f>
        <v>69247.689977870119</v>
      </c>
      <c r="K100" s="12">
        <f>SUM(K96:K99)</f>
        <v>71216.415020999775</v>
      </c>
      <c r="L100" s="12">
        <f>SUM(L96:L99)</f>
        <v>73968.109886919148</v>
      </c>
      <c r="M100" s="163"/>
    </row>
    <row r="101" spans="1:13" ht="30.75">
      <c r="A101" s="1" t="s">
        <v>468</v>
      </c>
      <c r="B101" s="170">
        <f>Historical!F138</f>
        <v>1857</v>
      </c>
      <c r="C101" s="6">
        <f>B101+C53+C127</f>
        <v>1974.4596902953072</v>
      </c>
      <c r="D101" s="6">
        <f>C101+D53+D127</f>
        <v>2103.9213320128665</v>
      </c>
      <c r="E101" s="6">
        <f>D101+E53+E127</f>
        <v>2246.5800040396271</v>
      </c>
      <c r="F101" s="6">
        <f>E101+F53+F127</f>
        <v>2402.4059387863367</v>
      </c>
      <c r="G101" s="6">
        <f>F101+G53+G127</f>
        <v>2567.9760583882558</v>
      </c>
      <c r="H101" s="6">
        <f>G101+H53+H127</f>
        <v>2743.559751706156</v>
      </c>
      <c r="I101" s="6">
        <f>H101+I53+I127</f>
        <v>2929.0605994449134</v>
      </c>
      <c r="J101" s="6">
        <f>I101+J53+J127</f>
        <v>3124.1637401646994</v>
      </c>
      <c r="K101" s="6">
        <f>J101+K53+K127</f>
        <v>3328.4970015126701</v>
      </c>
      <c r="L101" s="6">
        <f>K101+L53+L127</f>
        <v>3541.6332035433511</v>
      </c>
      <c r="M101" s="163" t="s">
        <v>666</v>
      </c>
    </row>
    <row r="102" spans="1:13">
      <c r="A102" s="7" t="s">
        <v>470</v>
      </c>
      <c r="B102" s="175">
        <f>B100+B101</f>
        <v>67102</v>
      </c>
      <c r="C102" s="14">
        <f>C100+C101</f>
        <v>73515.284158345166</v>
      </c>
      <c r="D102" s="14">
        <f>D100+D101</f>
        <v>70990.376829083689</v>
      </c>
      <c r="E102" s="14">
        <f>E100+E101</f>
        <v>70949.700955324603</v>
      </c>
      <c r="F102" s="14">
        <f>F100+F101</f>
        <v>71413.591698727381</v>
      </c>
      <c r="G102" s="14">
        <f>G100+G101</f>
        <v>70328.023826372781</v>
      </c>
      <c r="H102" s="14">
        <f>H100+H101</f>
        <v>70293.85337456502</v>
      </c>
      <c r="I102" s="14">
        <f>I100+I101</f>
        <v>70964.553362582214</v>
      </c>
      <c r="J102" s="14">
        <f>J100+J101</f>
        <v>72371.853718034821</v>
      </c>
      <c r="K102" s="14">
        <f>K100+K101</f>
        <v>74544.91202251245</v>
      </c>
      <c r="L102" s="14">
        <f>L100+L101</f>
        <v>77509.743090462493</v>
      </c>
      <c r="M102" s="163"/>
    </row>
    <row r="103" spans="1:13">
      <c r="A103" s="7" t="s">
        <v>667</v>
      </c>
      <c r="B103" s="171">
        <f>B94+B95+B102</f>
        <v>171079</v>
      </c>
      <c r="C103" s="9">
        <f>C94+C95+C102</f>
        <v>180740.56574090803</v>
      </c>
      <c r="D103" s="9">
        <f>D94+D95+D102</f>
        <v>185280.43359350794</v>
      </c>
      <c r="E103" s="9">
        <f>E94+E95+E102</f>
        <v>191375.58426529629</v>
      </c>
      <c r="F103" s="9">
        <f>F94+F95+F102</f>
        <v>196856.52581125504</v>
      </c>
      <c r="G103" s="9">
        <f>G94+G95+G102</f>
        <v>201831.74861871023</v>
      </c>
      <c r="H103" s="9">
        <f>H94+H95+H102</f>
        <v>207304.94025091676</v>
      </c>
      <c r="I103" s="9">
        <f>I94+I95+I102</f>
        <v>213283.07563776145</v>
      </c>
      <c r="J103" s="9">
        <f>J94+J95+J102</f>
        <v>219750.683590103</v>
      </c>
      <c r="K103" s="9">
        <f>K94+K95+K102</f>
        <v>226690.75575018412</v>
      </c>
      <c r="L103" s="9">
        <f>L94+L95+L102</f>
        <v>234085.02687693099</v>
      </c>
      <c r="M103" s="163"/>
    </row>
    <row r="104" spans="1:13" ht="20.25">
      <c r="A104" s="1" t="s">
        <v>668</v>
      </c>
      <c r="B104" s="169">
        <f>ROUND(B85-B103,3)</f>
        <v>0</v>
      </c>
      <c r="C104" s="6">
        <f>ROUND(C85-C103,3)</f>
        <v>0</v>
      </c>
      <c r="D104" s="6">
        <f>ROUND(D85-D103,3)</f>
        <v>0</v>
      </c>
      <c r="E104" s="6">
        <f>ROUND(E85-E103,3)</f>
        <v>0</v>
      </c>
      <c r="F104" s="6">
        <f>ROUND(F85-F103,3)</f>
        <v>0</v>
      </c>
      <c r="G104" s="6">
        <f>ROUND(G85-G103,3)</f>
        <v>0</v>
      </c>
      <c r="H104" s="6">
        <f>ROUND(H85-H103,3)</f>
        <v>0</v>
      </c>
      <c r="I104" s="6">
        <f>ROUND(I85-I103,3)</f>
        <v>0</v>
      </c>
      <c r="J104" s="6">
        <f>ROUND(J85-J103,3)</f>
        <v>0</v>
      </c>
      <c r="K104" s="6">
        <f>ROUND(K85-K103,3)</f>
        <v>0</v>
      </c>
      <c r="L104" s="6">
        <f>ROUND(L85-L103,3)</f>
        <v>0</v>
      </c>
      <c r="M104" s="163" t="s">
        <v>473</v>
      </c>
    </row>
    <row r="105" spans="1:13">
      <c r="B105" s="16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163"/>
    </row>
    <row r="106" spans="1:13">
      <c r="A106" s="2" t="s">
        <v>477</v>
      </c>
      <c r="B106" s="168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30"/>
    </row>
    <row r="107" spans="1:13">
      <c r="A107" s="1" t="s">
        <v>669</v>
      </c>
      <c r="B107" s="169"/>
      <c r="C107" s="6">
        <f>C52</f>
        <v>9396.0619215347051</v>
      </c>
      <c r="D107" s="6">
        <f>D52</f>
        <v>10356.14515059153</v>
      </c>
      <c r="E107" s="6">
        <f>E52</f>
        <v>11411.827433201619</v>
      </c>
      <c r="F107" s="6">
        <f>F52</f>
        <v>12465.128489442333</v>
      </c>
      <c r="G107" s="6">
        <f>G52</f>
        <v>13244.60410396372</v>
      </c>
      <c r="H107" s="6">
        <f>H52</f>
        <v>14045.629191418564</v>
      </c>
      <c r="I107" s="6">
        <f>I52</f>
        <v>14838.941320792672</v>
      </c>
      <c r="J107" s="6">
        <f>J52</f>
        <v>15607.066447051988</v>
      </c>
      <c r="K107" s="6">
        <f>K52</f>
        <v>16345.420045189492</v>
      </c>
      <c r="L107" s="6">
        <f>L52</f>
        <v>17049.601841841562</v>
      </c>
      <c r="M107" s="163"/>
    </row>
    <row r="108" spans="1:13">
      <c r="A108" s="1" t="s">
        <v>479</v>
      </c>
      <c r="B108" s="169"/>
      <c r="C108" s="6">
        <f>C61</f>
        <v>4379.0921246406742</v>
      </c>
      <c r="D108" s="6">
        <f>D61</f>
        <v>4487.8767560584383</v>
      </c>
      <c r="E108" s="6">
        <f>E61</f>
        <v>4574.7878253720137</v>
      </c>
      <c r="F108" s="6">
        <f>F61</f>
        <v>4586.062465736778</v>
      </c>
      <c r="G108" s="6">
        <f>G61</f>
        <v>4720.1486628236344</v>
      </c>
      <c r="H108" s="6">
        <f>H61</f>
        <v>4555.2219272452103</v>
      </c>
      <c r="I108" s="6">
        <f>I61</f>
        <v>4385.2895509628324</v>
      </c>
      <c r="J108" s="6">
        <f>J61</f>
        <v>4209.167572313866</v>
      </c>
      <c r="K108" s="6">
        <f>K61</f>
        <v>4025.6986647636859</v>
      </c>
      <c r="L108" s="6">
        <f>L61</f>
        <v>3833.7737585754053</v>
      </c>
      <c r="M108" s="163"/>
    </row>
    <row r="109" spans="1:13" ht="20.25">
      <c r="A109" s="1" t="s">
        <v>670</v>
      </c>
      <c r="B109" s="169"/>
      <c r="C109" s="47">
        <f>C40*Assumptions!C56</f>
        <v>1199.8956863214014</v>
      </c>
      <c r="D109" s="47">
        <f>D40*Assumptions!D56</f>
        <v>1294.2476607717804</v>
      </c>
      <c r="E109" s="47">
        <f>E40*Assumptions!E56</f>
        <v>1380.4100725713377</v>
      </c>
      <c r="F109" s="47">
        <f>F40*Assumptions!F56</f>
        <v>1455.8714350798505</v>
      </c>
      <c r="G109" s="47">
        <f>G40*Assumptions!G56</f>
        <v>1523.6647760734418</v>
      </c>
      <c r="H109" s="47">
        <f>H40*Assumptions!H56</f>
        <v>1589.6422664836091</v>
      </c>
      <c r="I109" s="47">
        <f>I40*Assumptions!I56</f>
        <v>1653.2379879836594</v>
      </c>
      <c r="J109" s="47">
        <f>J40*Assumptions!J56</f>
        <v>1713.8885914949012</v>
      </c>
      <c r="K109" s="47">
        <f>K40*Assumptions!K56</f>
        <v>1771.0434013851736</v>
      </c>
      <c r="L109" s="47">
        <f>L40*Assumptions!L56</f>
        <v>1824.1747034267289</v>
      </c>
      <c r="M109" s="163" t="s">
        <v>610</v>
      </c>
    </row>
    <row r="110" spans="1:13">
      <c r="A110" s="1" t="s">
        <v>671</v>
      </c>
      <c r="B110" s="169"/>
      <c r="C110" s="6">
        <f>-C48</f>
        <v>-1397.3333333333333</v>
      </c>
      <c r="D110" s="6">
        <f>-D48</f>
        <v>-1397.3333333333333</v>
      </c>
      <c r="E110" s="6">
        <f>-E48</f>
        <v>-1397.3333333333333</v>
      </c>
      <c r="F110" s="6">
        <f>-F48</f>
        <v>-1397.3333333333333</v>
      </c>
      <c r="G110" s="6">
        <f>-G48</f>
        <v>-1397.3333333333333</v>
      </c>
      <c r="H110" s="6">
        <f>-H48</f>
        <v>-1397.3333333333333</v>
      </c>
      <c r="I110" s="6">
        <f>-I48</f>
        <v>-1397.3333333333333</v>
      </c>
      <c r="J110" s="6">
        <f>-J48</f>
        <v>-1397.3333333333333</v>
      </c>
      <c r="K110" s="6">
        <f>-K48</f>
        <v>-1397.3333333333333</v>
      </c>
      <c r="L110" s="6">
        <f>-L48</f>
        <v>-1397.3333333333333</v>
      </c>
      <c r="M110" s="163"/>
    </row>
    <row r="111" spans="1:13">
      <c r="A111" s="1" t="s">
        <v>491</v>
      </c>
      <c r="B111" s="169"/>
      <c r="C111" s="6">
        <f>B73-C73</f>
        <v>-821.07556859532633</v>
      </c>
      <c r="D111" s="6">
        <f>C73-D73</f>
        <v>-1220.5548316911518</v>
      </c>
      <c r="E111" s="6">
        <f>D73-E73</f>
        <v>-1114.6131137660595</v>
      </c>
      <c r="F111" s="6">
        <f>E73-F73</f>
        <v>-976.18233378043442</v>
      </c>
      <c r="G111" s="6">
        <f>F73-G73</f>
        <v>-876.98736977391673</v>
      </c>
      <c r="H111" s="6">
        <f>G73-H73</f>
        <v>-853.49718617004328</v>
      </c>
      <c r="I111" s="6">
        <f>H73-I73</f>
        <v>-822.68617698715025</v>
      </c>
      <c r="J111" s="6">
        <f>I73-J73</f>
        <v>-784.58757849908579</v>
      </c>
      <c r="K111" s="6">
        <f>J73-K73</f>
        <v>-739.36533678634441</v>
      </c>
      <c r="L111" s="6">
        <f>K73-L73</f>
        <v>-687.31648488148494</v>
      </c>
      <c r="M111" s="163"/>
    </row>
    <row r="112" spans="1:13">
      <c r="A112" s="1" t="s">
        <v>493</v>
      </c>
      <c r="B112" s="169"/>
      <c r="C112" s="6">
        <f>B74-C74</f>
        <v>-1782.3957384984024</v>
      </c>
      <c r="D112" s="6">
        <f>C74-D74</f>
        <v>-1484.1594355129055</v>
      </c>
      <c r="E112" s="6">
        <f>D74-E74</f>
        <v>-1355.3373652621849</v>
      </c>
      <c r="F112" s="6">
        <f>E74-F74</f>
        <v>-1187.0095335691112</v>
      </c>
      <c r="G112" s="6">
        <f>F74-G74</f>
        <v>-1066.3913212912994</v>
      </c>
      <c r="H112" s="6">
        <f>G74-H74</f>
        <v>-1037.8279362368849</v>
      </c>
      <c r="I112" s="6">
        <f>H74-I74</f>
        <v>-1000.3626386450414</v>
      </c>
      <c r="J112" s="6">
        <f>I74-J74</f>
        <v>-954.03584286518526</v>
      </c>
      <c r="K112" s="6">
        <f>J74-K74</f>
        <v>-899.04690259773633</v>
      </c>
      <c r="L112" s="6">
        <f>K74-L74</f>
        <v>-835.75700143436552</v>
      </c>
      <c r="M112" s="163"/>
    </row>
    <row r="113" spans="1:13">
      <c r="A113" s="1" t="s">
        <v>495</v>
      </c>
      <c r="B113" s="169"/>
      <c r="C113" s="6">
        <f>B75-C75</f>
        <v>-1407.6801120549644</v>
      </c>
      <c r="D113" s="6">
        <f>C75-D75</f>
        <v>-1060.6080366000933</v>
      </c>
      <c r="E113" s="6">
        <f>D75-E75</f>
        <v>-953.87697225736338</v>
      </c>
      <c r="F113" s="6">
        <f>E75-F75</f>
        <v>-806.57595954616772</v>
      </c>
      <c r="G113" s="6">
        <f>F75-G75</f>
        <v>-767.26115193327496</v>
      </c>
      <c r="H113" s="6">
        <f>G75-H75</f>
        <v>-724.92347126756795</v>
      </c>
      <c r="I113" s="6">
        <f>H75-I75</f>
        <v>-696.48463509221983</v>
      </c>
      <c r="J113" s="6">
        <f>I75-J75</f>
        <v>-661.30983919427308</v>
      </c>
      <c r="K113" s="6">
        <f>J75-K75</f>
        <v>-619.55353063113216</v>
      </c>
      <c r="L113" s="6">
        <f>K75-L75</f>
        <v>-571.4944005008183</v>
      </c>
      <c r="M113" s="163"/>
    </row>
    <row r="114" spans="1:13">
      <c r="A114" s="1" t="s">
        <v>497</v>
      </c>
      <c r="B114" s="169"/>
      <c r="C114" s="6">
        <f>B76-C76</f>
        <v>-853.99311483451856</v>
      </c>
      <c r="D114" s="6">
        <f>C76-D76</f>
        <v>-675.77559286299947</v>
      </c>
      <c r="E114" s="6">
        <f>D76-E76</f>
        <v>-617.11962315079654</v>
      </c>
      <c r="F114" s="6">
        <f>E76-F76</f>
        <v>-540.47567403328503</v>
      </c>
      <c r="G114" s="6">
        <f>F76-G76</f>
        <v>-485.5551298102564</v>
      </c>
      <c r="H114" s="6">
        <f>G76-H76</f>
        <v>-472.54949307915012</v>
      </c>
      <c r="I114" s="6">
        <f>H76-I76</f>
        <v>-455.4905888360463</v>
      </c>
      <c r="J114" s="6">
        <f>I76-J76</f>
        <v>-434.39681876358918</v>
      </c>
      <c r="K114" s="6">
        <f>J76-K76</f>
        <v>-409.35895367916783</v>
      </c>
      <c r="L114" s="6">
        <f>K76-L76</f>
        <v>-380.54144967149477</v>
      </c>
      <c r="M114" s="163"/>
    </row>
    <row r="115" spans="1:13">
      <c r="A115" s="1" t="s">
        <v>672</v>
      </c>
      <c r="B115" s="169"/>
      <c r="C115" s="6">
        <f>B78-C78</f>
        <v>7.2522534588406415</v>
      </c>
      <c r="D115" s="6">
        <f>C78-D78</f>
        <v>-167.0763111998167</v>
      </c>
      <c r="E115" s="6">
        <f>D78-E78</f>
        <v>-152.57442158903041</v>
      </c>
      <c r="F115" s="6">
        <f>E78-F78</f>
        <v>-133.62524906847693</v>
      </c>
      <c r="G115" s="6">
        <f>F78-G78</f>
        <v>-120.04689253299512</v>
      </c>
      <c r="H115" s="6">
        <f>G78-H78</f>
        <v>-116.83142598938684</v>
      </c>
      <c r="I115" s="6">
        <f>H78-I78</f>
        <v>-112.61384425937285</v>
      </c>
      <c r="J115" s="6">
        <f>I78-J78</f>
        <v>-107.39869690835258</v>
      </c>
      <c r="K115" s="6">
        <f>J78-K78</f>
        <v>-101.20842578461952</v>
      </c>
      <c r="L115" s="6">
        <f>K78-L78</f>
        <v>-94.083690416196532</v>
      </c>
      <c r="M115" s="163"/>
    </row>
    <row r="116" spans="1:13">
      <c r="A116" s="1" t="s">
        <v>673</v>
      </c>
      <c r="B116" s="169"/>
      <c r="C116" s="6">
        <f>C88-B88</f>
        <v>1683.4016625909499</v>
      </c>
      <c r="D116" s="6">
        <f>D88-C88</f>
        <v>1262.1309108036694</v>
      </c>
      <c r="E116" s="6">
        <f>E88-D88</f>
        <v>1135.1202048677078</v>
      </c>
      <c r="F116" s="6">
        <f>F88-E88</f>
        <v>959.83097932925375</v>
      </c>
      <c r="G116" s="6">
        <f>G88-F88</f>
        <v>913.04608592076329</v>
      </c>
      <c r="H116" s="6">
        <f>H88-G88</f>
        <v>862.66395263878076</v>
      </c>
      <c r="I116" s="6">
        <f>I88-H88</f>
        <v>828.8215405830997</v>
      </c>
      <c r="J116" s="6">
        <f>J88-I88</f>
        <v>786.96328979487589</v>
      </c>
      <c r="K116" s="6">
        <f>K88-J88</f>
        <v>737.27299334235067</v>
      </c>
      <c r="L116" s="6">
        <f>L88-K88</f>
        <v>680.08229556275546</v>
      </c>
      <c r="M116" s="163"/>
    </row>
    <row r="117" spans="1:13">
      <c r="A117" s="1" t="s">
        <v>674</v>
      </c>
      <c r="B117" s="169"/>
      <c r="C117" s="6">
        <f>C89-B89</f>
        <v>1149.5392855890495</v>
      </c>
      <c r="D117" s="6">
        <f>D89-C89</f>
        <v>1478.9022799045852</v>
      </c>
      <c r="E117" s="6">
        <f>E89-D89</f>
        <v>1350.5365202448193</v>
      </c>
      <c r="F117" s="6">
        <f>F89-E89</f>
        <v>1182.8049355473522</v>
      </c>
      <c r="G117" s="6">
        <f>G89-F89</f>
        <v>1062.6139743424137</v>
      </c>
      <c r="H117" s="6">
        <f>H89-G89</f>
        <v>1034.1517658572666</v>
      </c>
      <c r="I117" s="6">
        <f>I89-H89</f>
        <v>996.81917698568941</v>
      </c>
      <c r="J117" s="6">
        <f>J89-I89</f>
        <v>950.65647892230481</v>
      </c>
      <c r="K117" s="6">
        <f>K89-J89</f>
        <v>895.86231922142179</v>
      </c>
      <c r="L117" s="6">
        <f>L89-K89</f>
        <v>832.79660209844951</v>
      </c>
      <c r="M117" s="163"/>
    </row>
    <row r="118" spans="1:13">
      <c r="A118" s="1" t="s">
        <v>501</v>
      </c>
      <c r="B118" s="169"/>
      <c r="C118" s="6">
        <f>C90-B90</f>
        <v>1189.1830769329281</v>
      </c>
      <c r="D118" s="6">
        <f>D90-C90</f>
        <v>1793.1722928623094</v>
      </c>
      <c r="E118" s="6">
        <f>E90-D90</f>
        <v>1637.5285247095089</v>
      </c>
      <c r="F118" s="6">
        <f>F90-E90</f>
        <v>1434.1536064310749</v>
      </c>
      <c r="G118" s="6">
        <f>G90-F90</f>
        <v>1288.4217995269137</v>
      </c>
      <c r="H118" s="6">
        <f>H90-G90</f>
        <v>1253.9113086427351</v>
      </c>
      <c r="I118" s="6">
        <f>I90-H90</f>
        <v>1208.6454618758653</v>
      </c>
      <c r="J118" s="6">
        <f>J90-I90</f>
        <v>1152.6730881390613</v>
      </c>
      <c r="K118" s="6">
        <f>K90-J90</f>
        <v>1086.235048032293</v>
      </c>
      <c r="L118" s="6">
        <f>L90-K90</f>
        <v>1009.7677262145808</v>
      </c>
      <c r="M118" s="163"/>
    </row>
    <row r="119" spans="1:13" ht="51">
      <c r="A119" s="1" t="s">
        <v>675</v>
      </c>
      <c r="B119" s="169"/>
      <c r="C119" s="6">
        <f>(C93-B93)+(C91-B91)-(C83-B83)-(C80-B80)</f>
        <v>-396.03728424800306</v>
      </c>
      <c r="D119" s="6">
        <f>(D93-C93)+(D91-C91)-(D83-C83)-(D80-C80)</f>
        <v>145.23310730592789</v>
      </c>
      <c r="E119" s="6">
        <f>(E93-D93)+(E91-D91)-(E83-D83)-(E80-D80)</f>
        <v>132.62716410035091</v>
      </c>
      <c r="F119" s="6">
        <f>(F93-E93)+(F91-E91)-(F83-E83)-(F80-E80)</f>
        <v>116.15536635551757</v>
      </c>
      <c r="G119" s="6">
        <f>(G93-F93)+(G91-F91)-(G83-F83)-(G80-F80)</f>
        <v>104.35221546240905</v>
      </c>
      <c r="H119" s="6">
        <f>(H93-G93)+(H91-G91)-(H83-G83)-(H80-G80)</f>
        <v>101.55713222042641</v>
      </c>
      <c r="I119" s="6">
        <f>(I93-H93)+(I91-H91)-(I83-H83)-(I80-H80)</f>
        <v>97.890948214043419</v>
      </c>
      <c r="J119" s="6">
        <f>(J93-I93)+(J91-I91)-(J83-I83)-(J80-I80)</f>
        <v>93.357618208084659</v>
      </c>
      <c r="K119" s="6">
        <f>(K93-J93)+(K91-J91)-(K83-J83)-(K80-J80)</f>
        <v>87.976650051019988</v>
      </c>
      <c r="L119" s="6">
        <f>(L93-K93)+(L91-K91)-(L83-K83)-(L80-K80)</f>
        <v>81.783387530094387</v>
      </c>
      <c r="M119" s="163" t="s">
        <v>676</v>
      </c>
    </row>
    <row r="120" spans="1:13">
      <c r="A120" s="7" t="s">
        <v>677</v>
      </c>
      <c r="B120" s="171"/>
      <c r="C120" s="9">
        <f>SUM(C107:C119)</f>
        <v>12345.910859504</v>
      </c>
      <c r="D120" s="9">
        <f>SUM(D107:D119)</f>
        <v>14812.20061709794</v>
      </c>
      <c r="E120" s="9">
        <f>SUM(E107:E119)</f>
        <v>16031.98291570859</v>
      </c>
      <c r="F120" s="9">
        <f>SUM(F107:F119)</f>
        <v>17158.805194591354</v>
      </c>
      <c r="G120" s="9">
        <f>SUM(G107:G119)</f>
        <v>18143.276419438218</v>
      </c>
      <c r="H120" s="9">
        <f>SUM(H107:H119)</f>
        <v>18839.814698430229</v>
      </c>
      <c r="I120" s="9">
        <f>SUM(I107:I119)</f>
        <v>19524.674770244699</v>
      </c>
      <c r="J120" s="9">
        <f>SUM(J107:J119)</f>
        <v>20174.710976361261</v>
      </c>
      <c r="K120" s="9">
        <f>SUM(K107:K119)</f>
        <v>20783.642639173104</v>
      </c>
      <c r="L120" s="9">
        <f>SUM(L107:L119)</f>
        <v>21345.453955011882</v>
      </c>
      <c r="M120" s="163"/>
    </row>
    <row r="121" spans="1:13" ht="71.25">
      <c r="A121" s="1" t="s">
        <v>507</v>
      </c>
      <c r="B121" s="169"/>
      <c r="C121" s="47">
        <f>-C40*Assumptions!C54</f>
        <v>-2823.3666367755668</v>
      </c>
      <c r="D121" s="47">
        <f>-D40*Assumptions!D54</f>
        <v>-3150.3908100923641</v>
      </c>
      <c r="E121" s="47">
        <f>-E40*Assumptions!E54</f>
        <v>-3360.1229027483027</v>
      </c>
      <c r="F121" s="47">
        <f>-F40*Assumptions!F54</f>
        <v>-3425.6801521144866</v>
      </c>
      <c r="G121" s="47">
        <f>-G40*Assumptions!G54</f>
        <v>-3461.5710296009015</v>
      </c>
      <c r="H121" s="47">
        <f>-H40*Assumptions!H54</f>
        <v>-3905.0076289698236</v>
      </c>
      <c r="I121" s="47">
        <f>-I40*Assumptions!I54</f>
        <v>-4366.5203953156479</v>
      </c>
      <c r="J121" s="47">
        <f>-J40*Assumptions!J54</f>
        <v>-4843.1979305186624</v>
      </c>
      <c r="K121" s="47">
        <f>-K40*Assumptions!K54</f>
        <v>-5331.7508766658184</v>
      </c>
      <c r="L121" s="47">
        <f>-(L143*Assumptions!$C$7/Assumptions!$C$8+L61-L144+L122)</f>
        <v>-5828.5564892987895</v>
      </c>
      <c r="M121" s="163" t="s">
        <v>678</v>
      </c>
    </row>
    <row r="122" spans="1:13" ht="20.25">
      <c r="A122" s="1" t="s">
        <v>679</v>
      </c>
      <c r="B122" s="169"/>
      <c r="C122" s="47">
        <f>-C40*Assumptions!C55</f>
        <v>-459.97609445578189</v>
      </c>
      <c r="D122" s="47">
        <f>-D40*Assumptions!D55</f>
        <v>-496.14561586220532</v>
      </c>
      <c r="E122" s="47">
        <f>-E40*Assumptions!E55</f>
        <v>-529.17569516014453</v>
      </c>
      <c r="F122" s="47">
        <f>-F40*Assumptions!F55</f>
        <v>-558.10356214447518</v>
      </c>
      <c r="G122" s="47">
        <f>-G40*Assumptions!G55</f>
        <v>-584.09191811226935</v>
      </c>
      <c r="H122" s="47">
        <f>-H40*Assumptions!H55</f>
        <v>-609.38417368650391</v>
      </c>
      <c r="I122" s="47">
        <f>-I40*Assumptions!I55</f>
        <v>-633.76338592400452</v>
      </c>
      <c r="J122" s="47">
        <f>-J40*Assumptions!J55</f>
        <v>-657.01359679443044</v>
      </c>
      <c r="K122" s="47">
        <f>-K40*Assumptions!K55</f>
        <v>-678.92370659179846</v>
      </c>
      <c r="L122" s="47">
        <f>-L40*Assumptions!L55</f>
        <v>-699.2914177895525</v>
      </c>
      <c r="M122" s="163" t="s">
        <v>610</v>
      </c>
    </row>
    <row r="123" spans="1:13">
      <c r="A123" s="7" t="s">
        <v>680</v>
      </c>
      <c r="B123" s="171"/>
      <c r="C123" s="9">
        <f>C121+C122</f>
        <v>-3283.3427312313488</v>
      </c>
      <c r="D123" s="9">
        <f>D121+D122</f>
        <v>-3646.5364259545695</v>
      </c>
      <c r="E123" s="9">
        <f>E121+E122</f>
        <v>-3889.2985979084474</v>
      </c>
      <c r="F123" s="9">
        <f>F121+F122</f>
        <v>-3983.7837142589619</v>
      </c>
      <c r="G123" s="9">
        <f>G121+G122</f>
        <v>-4045.662947713171</v>
      </c>
      <c r="H123" s="9">
        <f>H121+H122</f>
        <v>-4514.3918026563279</v>
      </c>
      <c r="I123" s="9">
        <f>I121+I122</f>
        <v>-5000.2837812396519</v>
      </c>
      <c r="J123" s="9">
        <f>J121+J122</f>
        <v>-5500.211527313093</v>
      </c>
      <c r="K123" s="9">
        <f>K121+K122</f>
        <v>-6010.6745832576171</v>
      </c>
      <c r="L123" s="9">
        <f>L121+L122</f>
        <v>-6527.8479070883423</v>
      </c>
      <c r="M123" s="163"/>
    </row>
    <row r="124" spans="1:13">
      <c r="A124" s="1" t="s">
        <v>681</v>
      </c>
      <c r="B124" s="169"/>
      <c r="C124" s="6">
        <f>C86-B86</f>
        <v>-1373.4566809145472</v>
      </c>
      <c r="D124" s="6">
        <f>D86-C86</f>
        <v>1791.2880452914906</v>
      </c>
      <c r="E124" s="6">
        <f>E86-D86</f>
        <v>1337.5278114274042</v>
      </c>
      <c r="F124" s="6">
        <f>F86-E86</f>
        <v>848.99436672054435</v>
      </c>
      <c r="G124" s="6">
        <f>G86-F86</f>
        <v>2265.5236118240937</v>
      </c>
      <c r="H124" s="6">
        <f>H86-G86</f>
        <v>1839.6776910619374</v>
      </c>
      <c r="I124" s="6">
        <f>I86-H86</f>
        <v>1774.8538695704046</v>
      </c>
      <c r="J124" s="6">
        <f>J86-I86</f>
        <v>1694.7954488584874</v>
      </c>
      <c r="K124" s="6">
        <f>K86-J86</f>
        <v>1599.8150040968831</v>
      </c>
      <c r="L124" s="6">
        <f>L86-K86</f>
        <v>1490.4905750381367</v>
      </c>
      <c r="M124" s="163"/>
    </row>
    <row r="125" spans="1:13">
      <c r="A125" s="1" t="s">
        <v>682</v>
      </c>
      <c r="B125" s="169"/>
      <c r="C125" s="6">
        <f>C87-B87</f>
        <v>0</v>
      </c>
      <c r="D125" s="6">
        <f>D87-C87</f>
        <v>0</v>
      </c>
      <c r="E125" s="6">
        <f>E87-D87</f>
        <v>0</v>
      </c>
      <c r="F125" s="6">
        <f>F87-E87</f>
        <v>0</v>
      </c>
      <c r="G125" s="6">
        <f>G87-F87</f>
        <v>0</v>
      </c>
      <c r="H125" s="6">
        <f>H87-G87</f>
        <v>0</v>
      </c>
      <c r="I125" s="6">
        <f>I87-H87</f>
        <v>0</v>
      </c>
      <c r="J125" s="6">
        <f>J87-I87</f>
        <v>0</v>
      </c>
      <c r="K125" s="6">
        <f>K87-J87</f>
        <v>0</v>
      </c>
      <c r="L125" s="6">
        <f>L87-K87</f>
        <v>0</v>
      </c>
      <c r="M125" s="163"/>
    </row>
    <row r="126" spans="1:13" ht="41.25">
      <c r="A126" s="1" t="s">
        <v>683</v>
      </c>
      <c r="B126" s="169"/>
      <c r="C126" s="6">
        <f>-C58*C66</f>
        <v>-3860.3118550338222</v>
      </c>
      <c r="D126" s="6">
        <f>-D58*D66</f>
        <v>-4163.5779543652798</v>
      </c>
      <c r="E126" s="6">
        <f>-E58*E66</f>
        <v>-4337.5169460094585</v>
      </c>
      <c r="F126" s="6">
        <f>-F58*F66</f>
        <v>-4550.015262218295</v>
      </c>
      <c r="G126" s="6">
        <f>-G58*G66</f>
        <v>-4773.5467483246684</v>
      </c>
      <c r="H126" s="6">
        <f>-H58*H66</f>
        <v>-4943.8517000919755</v>
      </c>
      <c r="I126" s="6">
        <f>-I58*I66</f>
        <v>-5095.0023973210509</v>
      </c>
      <c r="J126" s="6">
        <f>-J58*J66</f>
        <v>-5218.7562369309335</v>
      </c>
      <c r="K126" s="6">
        <f>-K58*K66</f>
        <v>-5312.8923274364406</v>
      </c>
      <c r="L126" s="6">
        <f>-L58*L66</f>
        <v>-5375.6095879991035</v>
      </c>
      <c r="M126" s="163" t="s">
        <v>684</v>
      </c>
    </row>
    <row r="127" spans="1:13">
      <c r="A127" s="1" t="s">
        <v>685</v>
      </c>
      <c r="B127" s="169"/>
      <c r="C127" s="47">
        <f>-C53*Assumptions!C78</f>
        <v>-322.36159447712129</v>
      </c>
      <c r="D127" s="47">
        <f>-D53*Assumptions!D78</f>
        <v>-355.30028338041342</v>
      </c>
      <c r="E127" s="47">
        <f>-E53*Assumptions!E78</f>
        <v>-391.51879989566544</v>
      </c>
      <c r="F127" s="47">
        <f>-F53*Assumptions!F78</f>
        <v>-427.65562091596934</v>
      </c>
      <c r="G127" s="47">
        <f>-G53*Assumptions!G78</f>
        <v>-454.39799490748794</v>
      </c>
      <c r="H127" s="47">
        <f>-H53*Assumptions!H78</f>
        <v>-481.87969166134917</v>
      </c>
      <c r="I127" s="47">
        <f>-I53*Assumptions!I78</f>
        <v>-509.09677101636771</v>
      </c>
      <c r="J127" s="47">
        <f>-J53*Assumptions!J78</f>
        <v>-535.44973064207954</v>
      </c>
      <c r="K127" s="47">
        <f>-K53*Assumptions!K78</f>
        <v>-560.78128392165286</v>
      </c>
      <c r="L127" s="47">
        <f>-L53*Assumptions!L78</f>
        <v>-584.94046557309173</v>
      </c>
      <c r="M127" s="163"/>
    </row>
    <row r="128" spans="1:13" ht="20.25">
      <c r="A128" s="1" t="s">
        <v>686</v>
      </c>
      <c r="B128" s="169"/>
      <c r="C128" s="6">
        <f>-C139</f>
        <v>0</v>
      </c>
      <c r="D128" s="6">
        <f>-D139</f>
        <v>-9656.4219028790849</v>
      </c>
      <c r="E128" s="6">
        <f>-E139</f>
        <v>-8103.8776336269293</v>
      </c>
      <c r="F128" s="6">
        <f>-F139</f>
        <v>-8479.4382979851434</v>
      </c>
      <c r="G128" s="6">
        <f>-G139</f>
        <v>-10625.892009159616</v>
      </c>
      <c r="H128" s="6">
        <f>-H139</f>
        <v>-10243.710517956588</v>
      </c>
      <c r="I128" s="6">
        <f>-I139</f>
        <v>-10217.380152421725</v>
      </c>
      <c r="J128" s="6">
        <f>-J139</f>
        <v>-10159.448715521256</v>
      </c>
      <c r="K128" s="6">
        <f>-K139</f>
        <v>-10069.731530738947</v>
      </c>
      <c r="L128" s="6">
        <f>-L139</f>
        <v>-9948.3954237460712</v>
      </c>
      <c r="M128" s="163" t="s">
        <v>687</v>
      </c>
    </row>
    <row r="129" spans="1:13">
      <c r="A129" s="7" t="s">
        <v>688</v>
      </c>
      <c r="B129" s="171"/>
      <c r="C129" s="9">
        <f>SUM(C124:C128)</f>
        <v>-5556.1301304254903</v>
      </c>
      <c r="D129" s="9">
        <f>SUM(D124:D128)</f>
        <v>-12384.012095333288</v>
      </c>
      <c r="E129" s="9">
        <f>SUM(E124:E128)</f>
        <v>-11495.385568104648</v>
      </c>
      <c r="F129" s="9">
        <f>SUM(F124:F128)</f>
        <v>-12608.114814398863</v>
      </c>
      <c r="G129" s="9">
        <f>SUM(G124:G128)</f>
        <v>-13588.313140567678</v>
      </c>
      <c r="H129" s="9">
        <f>SUM(H124:H128)</f>
        <v>-13829.764218647975</v>
      </c>
      <c r="I129" s="9">
        <f>SUM(I124:I128)</f>
        <v>-14046.625451188738</v>
      </c>
      <c r="J129" s="9">
        <f>SUM(J124:J128)</f>
        <v>-14218.859234235781</v>
      </c>
      <c r="K129" s="9">
        <f>SUM(K124:K128)</f>
        <v>-14343.590138000158</v>
      </c>
      <c r="L129" s="9">
        <f>SUM(L124:L128)</f>
        <v>-14418.454902280129</v>
      </c>
      <c r="M129" s="163"/>
    </row>
    <row r="130" spans="1:13">
      <c r="A130" s="1" t="s">
        <v>689</v>
      </c>
      <c r="B130" s="169"/>
      <c r="C130" s="6">
        <f>C120+C123+C129</f>
        <v>3506.4379978471607</v>
      </c>
      <c r="D130" s="6">
        <f>D120+D123+D129</f>
        <v>-1218.3479041899172</v>
      </c>
      <c r="E130" s="6">
        <f>E120+E123+E129</f>
        <v>647.29874969549383</v>
      </c>
      <c r="F130" s="6">
        <f>F120+F123+F129</f>
        <v>566.90666593352944</v>
      </c>
      <c r="G130" s="6">
        <f>G120+G123+G129</f>
        <v>509.30033115736842</v>
      </c>
      <c r="H130" s="6">
        <f>H120+H123+H129</f>
        <v>495.65867712592626</v>
      </c>
      <c r="I130" s="6">
        <f>I120+I123+I129</f>
        <v>477.76553781630901</v>
      </c>
      <c r="J130" s="6">
        <f>J120+J123+J129</f>
        <v>455.64021481238706</v>
      </c>
      <c r="K130" s="6">
        <f>K120+K123+K129</f>
        <v>429.37791791532982</v>
      </c>
      <c r="L130" s="6">
        <f>L120+L123+L129</f>
        <v>399.15114564341093</v>
      </c>
      <c r="M130" s="163"/>
    </row>
    <row r="131" spans="1:13">
      <c r="A131" s="1" t="s">
        <v>690</v>
      </c>
      <c r="B131" s="169"/>
      <c r="C131" s="6">
        <f>B72</f>
        <v>7435</v>
      </c>
      <c r="D131" s="6">
        <f>C72</f>
        <v>10941.437997847161</v>
      </c>
      <c r="E131" s="6">
        <f>D72</f>
        <v>9723.0900936572452</v>
      </c>
      <c r="F131" s="6">
        <f>E72</f>
        <v>10370.388843352739</v>
      </c>
      <c r="G131" s="6">
        <f>F72</f>
        <v>10937.295509286268</v>
      </c>
      <c r="H131" s="6">
        <f>G72</f>
        <v>11446.595840443635</v>
      </c>
      <c r="I131" s="6">
        <f>H72</f>
        <v>11942.25451756956</v>
      </c>
      <c r="J131" s="6">
        <f>I72</f>
        <v>12420.020055385865</v>
      </c>
      <c r="K131" s="6">
        <f>J72</f>
        <v>12875.660270198256</v>
      </c>
      <c r="L131" s="6">
        <f>K72</f>
        <v>13305.038188113584</v>
      </c>
      <c r="M131" s="163"/>
    </row>
    <row r="132" spans="1:13">
      <c r="A132" s="7" t="s">
        <v>691</v>
      </c>
      <c r="B132" s="171"/>
      <c r="C132" s="9">
        <f>C131+C130</f>
        <v>10941.437997847161</v>
      </c>
      <c r="D132" s="9">
        <f>D131+D130</f>
        <v>9723.0900936572434</v>
      </c>
      <c r="E132" s="9">
        <f>E131+E130</f>
        <v>10370.388843352739</v>
      </c>
      <c r="F132" s="9">
        <f>F131+F130</f>
        <v>10937.295509286268</v>
      </c>
      <c r="G132" s="9">
        <f>G131+G130</f>
        <v>11446.595840443637</v>
      </c>
      <c r="H132" s="9">
        <f>H131+H130</f>
        <v>11942.254517569561</v>
      </c>
      <c r="I132" s="9">
        <f>I131+I130</f>
        <v>12420.020055385869</v>
      </c>
      <c r="J132" s="9">
        <f>J131+J130</f>
        <v>12875.660270198252</v>
      </c>
      <c r="K132" s="9">
        <f>K131+K130</f>
        <v>13305.038188113585</v>
      </c>
      <c r="L132" s="9">
        <f>L131+L130</f>
        <v>13704.189333756995</v>
      </c>
      <c r="M132" s="163"/>
    </row>
    <row r="133" spans="1:13" ht="20.25">
      <c r="A133" s="1" t="s">
        <v>692</v>
      </c>
      <c r="B133" s="169"/>
      <c r="C133" s="6">
        <f>ROUND(C72-C132,3)</f>
        <v>0</v>
      </c>
      <c r="D133" s="6">
        <f>ROUND(D72-D132,3)</f>
        <v>0</v>
      </c>
      <c r="E133" s="6">
        <f>ROUND(E72-E132,3)</f>
        <v>0</v>
      </c>
      <c r="F133" s="6">
        <f>ROUND(F72-F132,3)</f>
        <v>0</v>
      </c>
      <c r="G133" s="6">
        <f>ROUND(G72-G132,3)</f>
        <v>0</v>
      </c>
      <c r="H133" s="6">
        <f>ROUND(H72-H132,3)</f>
        <v>0</v>
      </c>
      <c r="I133" s="6">
        <f>ROUND(I72-I132,3)</f>
        <v>0</v>
      </c>
      <c r="J133" s="6">
        <f>ROUND(J72-J132,3)</f>
        <v>0</v>
      </c>
      <c r="K133" s="6">
        <f>ROUND(K72-K132,3)</f>
        <v>0</v>
      </c>
      <c r="L133" s="6">
        <f>ROUND(L72-L132,3)</f>
        <v>0</v>
      </c>
      <c r="M133" s="163" t="s">
        <v>473</v>
      </c>
    </row>
    <row r="134" spans="1:13">
      <c r="B134" s="169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163"/>
    </row>
    <row r="135" spans="1:13">
      <c r="A135" s="2" t="s">
        <v>693</v>
      </c>
      <c r="B135" s="168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30"/>
    </row>
    <row r="136" spans="1:13" ht="142.5">
      <c r="A136" s="1" t="s">
        <v>694</v>
      </c>
      <c r="B136" s="169"/>
      <c r="C136" s="6">
        <f>C131+C120+C123+C124+C126+C127-B87</f>
        <v>10941.437997847161</v>
      </c>
      <c r="D136" s="6">
        <f>D131+D120+D123+D124+D126+D127-C87</f>
        <v>19379.51199653633</v>
      </c>
      <c r="E136" s="6">
        <f>E131+E120+E123+E124+E126+E127-D87</f>
        <v>18474.266476979668</v>
      </c>
      <c r="F136" s="6">
        <f>F131+F120+F123+F124+F126+F127-E87</f>
        <v>19416.733807271412</v>
      </c>
      <c r="G136" s="6">
        <f>G131+G120+G123+G124+G126+G127-F87</f>
        <v>22072.487849603251</v>
      </c>
      <c r="H136" s="6">
        <f>H131+H120+H123+H124+H126+H127-G87</f>
        <v>22185.965035526147</v>
      </c>
      <c r="I136" s="6">
        <f>I131+I120+I123+I124+I126+I127-H87</f>
        <v>22637.40020780759</v>
      </c>
      <c r="J136" s="6">
        <f>J131+J120+J123+J124+J126+J127-I87</f>
        <v>23035.108985719511</v>
      </c>
      <c r="K136" s="6">
        <f>K131+K120+K123+K124+K126+K127-J87</f>
        <v>23374.769718852531</v>
      </c>
      <c r="L136" s="6">
        <f>L131+L120+L123+L124+L126+L127-K87</f>
        <v>23652.584757503064</v>
      </c>
      <c r="M136" s="163" t="s">
        <v>695</v>
      </c>
    </row>
    <row r="137" spans="1:13" ht="30.75">
      <c r="A137" s="1" t="s">
        <v>696</v>
      </c>
      <c r="B137" s="169"/>
      <c r="C137" s="47">
        <f>C40*Assumptions!C71</f>
        <v>9014.2669094233825</v>
      </c>
      <c r="D137" s="47">
        <f>D40*Assumptions!D71</f>
        <v>9723.0900936572452</v>
      </c>
      <c r="E137" s="47">
        <f>E40*Assumptions!E71</f>
        <v>10370.388843352739</v>
      </c>
      <c r="F137" s="47">
        <f>F40*Assumptions!F71</f>
        <v>10937.295509286268</v>
      </c>
      <c r="G137" s="47">
        <f>G40*Assumptions!G71</f>
        <v>11446.595840443635</v>
      </c>
      <c r="H137" s="47">
        <f>H40*Assumptions!H71</f>
        <v>11942.25451756956</v>
      </c>
      <c r="I137" s="47">
        <f>I40*Assumptions!I71</f>
        <v>12420.020055385865</v>
      </c>
      <c r="J137" s="47">
        <f>J40*Assumptions!J71</f>
        <v>12875.660270198256</v>
      </c>
      <c r="K137" s="47">
        <f>K40*Assumptions!K71</f>
        <v>13305.038188113584</v>
      </c>
      <c r="L137" s="47">
        <f>L40*Assumptions!L71</f>
        <v>13704.189333756993</v>
      </c>
      <c r="M137" s="163" t="s">
        <v>697</v>
      </c>
    </row>
    <row r="138" spans="1:13" ht="30.75">
      <c r="A138" s="1" t="s">
        <v>698</v>
      </c>
      <c r="B138" s="169"/>
      <c r="C138" s="6">
        <f>MAX(0,C137-C136)</f>
        <v>0</v>
      </c>
      <c r="D138" s="6">
        <f>MAX(0,D137-D136)</f>
        <v>0</v>
      </c>
      <c r="E138" s="6">
        <f>MAX(0,E137-E136)</f>
        <v>0</v>
      </c>
      <c r="F138" s="6">
        <f>MAX(0,F137-F136)</f>
        <v>0</v>
      </c>
      <c r="G138" s="6">
        <f>MAX(0,G137-G136)</f>
        <v>0</v>
      </c>
      <c r="H138" s="6">
        <f>MAX(0,H137-H136)</f>
        <v>0</v>
      </c>
      <c r="I138" s="6">
        <f>MAX(0,I137-I136)</f>
        <v>0</v>
      </c>
      <c r="J138" s="6">
        <f>MAX(0,J137-J136)</f>
        <v>0</v>
      </c>
      <c r="K138" s="6">
        <f>MAX(0,K137-K136)</f>
        <v>0</v>
      </c>
      <c r="L138" s="6">
        <f>MAX(0,L137-L136)</f>
        <v>0</v>
      </c>
      <c r="M138" s="163" t="s">
        <v>699</v>
      </c>
    </row>
    <row r="139" spans="1:13" ht="41.25">
      <c r="A139" s="1" t="s">
        <v>686</v>
      </c>
      <c r="B139" s="169"/>
      <c r="C139" s="47">
        <f>MAX(0,C136-C137)*Assumptions!C72</f>
        <v>0</v>
      </c>
      <c r="D139" s="47">
        <f>MAX(0,D136-D137)*Assumptions!D72</f>
        <v>9656.4219028790849</v>
      </c>
      <c r="E139" s="47">
        <f>MAX(0,E136-E137)*Assumptions!E72</f>
        <v>8103.8776336269293</v>
      </c>
      <c r="F139" s="47">
        <f>MAX(0,F136-F137)*Assumptions!F72</f>
        <v>8479.4382979851434</v>
      </c>
      <c r="G139" s="47">
        <f>MAX(0,G136-G137)*Assumptions!G72</f>
        <v>10625.892009159616</v>
      </c>
      <c r="H139" s="47">
        <f>MAX(0,H136-H137)*Assumptions!H72</f>
        <v>10243.710517956588</v>
      </c>
      <c r="I139" s="47">
        <f>MAX(0,I136-I137)*Assumptions!I72</f>
        <v>10217.380152421725</v>
      </c>
      <c r="J139" s="47">
        <f>MAX(0,J136-J137)*Assumptions!J72</f>
        <v>10159.448715521256</v>
      </c>
      <c r="K139" s="47">
        <f>MAX(0,K136-K137)*Assumptions!K72</f>
        <v>10069.731530738947</v>
      </c>
      <c r="L139" s="47">
        <f>MAX(0,L136-L137)*Assumptions!L72</f>
        <v>9948.3954237460712</v>
      </c>
      <c r="M139" s="163" t="s">
        <v>700</v>
      </c>
    </row>
    <row r="140" spans="1:13">
      <c r="A140" s="7" t="s">
        <v>691</v>
      </c>
      <c r="B140" s="171"/>
      <c r="C140" s="9">
        <f>C136+C138-C139</f>
        <v>10941.437997847161</v>
      </c>
      <c r="D140" s="9">
        <f>D136+D138-D139</f>
        <v>9723.0900936572452</v>
      </c>
      <c r="E140" s="9">
        <f>E136+E138-E139</f>
        <v>10370.388843352739</v>
      </c>
      <c r="F140" s="9">
        <f>F136+F138-F139</f>
        <v>10937.295509286268</v>
      </c>
      <c r="G140" s="9">
        <f>G136+G138-G139</f>
        <v>11446.595840443635</v>
      </c>
      <c r="H140" s="9">
        <f>H136+H138-H139</f>
        <v>11942.25451756956</v>
      </c>
      <c r="I140" s="9">
        <f>I136+I138-I139</f>
        <v>12420.020055385865</v>
      </c>
      <c r="J140" s="9">
        <f>J136+J138-J139</f>
        <v>12875.660270198256</v>
      </c>
      <c r="K140" s="9">
        <f>K136+K138-K139</f>
        <v>13305.038188113584</v>
      </c>
      <c r="L140" s="9">
        <f>L136+L138-L139</f>
        <v>13704.189333756993</v>
      </c>
      <c r="M140" s="163"/>
    </row>
    <row r="141" spans="1:13">
      <c r="B141" s="169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163"/>
    </row>
    <row r="142" spans="1:13">
      <c r="A142" s="2" t="s">
        <v>701</v>
      </c>
      <c r="B142" s="168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30"/>
    </row>
    <row r="143" spans="1:13" ht="41.25">
      <c r="A143" s="1" t="s">
        <v>702</v>
      </c>
      <c r="B143" s="169"/>
      <c r="C143" s="47">
        <f>C47*(1-Assumptions!C49)</f>
        <v>9557.1292065549096</v>
      </c>
      <c r="D143" s="47">
        <f>D47*(1-Assumptions!D49)</f>
        <v>10466.39795644703</v>
      </c>
      <c r="E143" s="47">
        <f>E47*(1-Assumptions!E49)</f>
        <v>11582.945242574588</v>
      </c>
      <c r="F143" s="47">
        <f>F47*(1-Assumptions!F49)</f>
        <v>12681.69328047815</v>
      </c>
      <c r="G143" s="47">
        <f>G47*(1-Assumptions!G49)</f>
        <v>13490.016318646778</v>
      </c>
      <c r="H143" s="47">
        <f>H47*(1-Assumptions!H49)</f>
        <v>14368.020149394772</v>
      </c>
      <c r="I143" s="47">
        <f>I47*(1-Assumptions!I49)</f>
        <v>15223.841482373415</v>
      </c>
      <c r="J143" s="47">
        <f>J47*(1-Assumptions!J49)</f>
        <v>16052.273206054822</v>
      </c>
      <c r="K143" s="47">
        <f>K47*(1-Assumptions!K49)</f>
        <v>16848.213148961</v>
      </c>
      <c r="L143" s="47">
        <f>L47*(1-Assumptions!L49)</f>
        <v>17606.754012044406</v>
      </c>
      <c r="M143" s="163" t="s">
        <v>703</v>
      </c>
    </row>
    <row r="144" spans="1:13" ht="30.75">
      <c r="A144" s="1" t="s">
        <v>704</v>
      </c>
      <c r="B144" s="169"/>
      <c r="C144" s="6">
        <f>-SUM(C111:C119)</f>
        <v>1231.8055396594466</v>
      </c>
      <c r="D144" s="6">
        <f>-SUM(D111:D119)</f>
        <v>-71.264383009525091</v>
      </c>
      <c r="E144" s="6">
        <f>-SUM(E111:E119)</f>
        <v>-62.290917896952578</v>
      </c>
      <c r="F144" s="6">
        <f>-SUM(F111:F119)</f>
        <v>-49.076137665723081</v>
      </c>
      <c r="G144" s="6">
        <f>-SUM(G111:G119)</f>
        <v>-52.192209910757128</v>
      </c>
      <c r="H144" s="6">
        <f>-SUM(H111:H119)</f>
        <v>-46.654646616175796</v>
      </c>
      <c r="I144" s="6">
        <f>-SUM(I111:I119)</f>
        <v>-44.539243838867151</v>
      </c>
      <c r="J144" s="6">
        <f>-SUM(J111:J119)</f>
        <v>-41.921698833840765</v>
      </c>
      <c r="K144" s="6">
        <f>-SUM(K111:K119)</f>
        <v>-38.813861168085168</v>
      </c>
      <c r="L144" s="6">
        <f>-SUM(L111:L119)</f>
        <v>-35.236984501520055</v>
      </c>
      <c r="M144" s="163" t="s">
        <v>705</v>
      </c>
    </row>
    <row r="145" spans="1:13">
      <c r="A145" s="1" t="s">
        <v>706</v>
      </c>
      <c r="B145" s="169"/>
      <c r="C145" s="6">
        <f>-C121-C122</f>
        <v>3283.3427312313488</v>
      </c>
      <c r="D145" s="6">
        <f>-D121-D122</f>
        <v>3646.5364259545695</v>
      </c>
      <c r="E145" s="6">
        <f>-E121-E122</f>
        <v>3889.2985979084474</v>
      </c>
      <c r="F145" s="6">
        <f>-F121-F122</f>
        <v>3983.7837142589619</v>
      </c>
      <c r="G145" s="6">
        <f>-G121-G122</f>
        <v>4045.662947713171</v>
      </c>
      <c r="H145" s="6">
        <f>-H121-H122</f>
        <v>4514.3918026563279</v>
      </c>
      <c r="I145" s="6">
        <f>-I121-I122</f>
        <v>5000.2837812396519</v>
      </c>
      <c r="J145" s="6">
        <f>-J121-J122</f>
        <v>5500.211527313093</v>
      </c>
      <c r="K145" s="6">
        <f>-K121-K122</f>
        <v>6010.6745832576171</v>
      </c>
      <c r="L145" s="6">
        <f>-L121-L122</f>
        <v>6527.8479070883423</v>
      </c>
      <c r="M145" s="163"/>
    </row>
    <row r="146" spans="1:13" ht="51">
      <c r="A146" s="7" t="s">
        <v>707</v>
      </c>
      <c r="B146" s="171"/>
      <c r="C146" s="9">
        <f>C143+C61-C145-C144</f>
        <v>9421.0730603047887</v>
      </c>
      <c r="D146" s="9">
        <f>D143+D61-D145-D144</f>
        <v>11379.002669560425</v>
      </c>
      <c r="E146" s="9">
        <f>E143+E61-E145-E144</f>
        <v>12330.725387935106</v>
      </c>
      <c r="F146" s="9">
        <f>F143+F61-F145-F144</f>
        <v>13333.048169621688</v>
      </c>
      <c r="G146" s="9">
        <f>G143+G61-G145-G144</f>
        <v>14216.694243668</v>
      </c>
      <c r="H146" s="9">
        <f>H143+H61-H145-H144</f>
        <v>14455.504920599829</v>
      </c>
      <c r="I146" s="9">
        <f>I143+I61-I145-I144</f>
        <v>14653.386495935465</v>
      </c>
      <c r="J146" s="9">
        <f>J143+J61-J145-J144</f>
        <v>14803.150949889436</v>
      </c>
      <c r="K146" s="9">
        <f>K143+K61-K145-K144</f>
        <v>14902.051091635152</v>
      </c>
      <c r="L146" s="9">
        <f>L143+L61-L145-L144</f>
        <v>14947.916848032988</v>
      </c>
      <c r="M146" s="163" t="s">
        <v>708</v>
      </c>
    </row>
    <row r="147" spans="1:13">
      <c r="A147" s="1" t="s">
        <v>709</v>
      </c>
      <c r="B147" s="169"/>
      <c r="C147" s="6">
        <f>C145-C61+C144</f>
        <v>136.05614625012117</v>
      </c>
      <c r="D147" s="6">
        <f>D145-D61+D144</f>
        <v>-912.60471311339393</v>
      </c>
      <c r="E147" s="6">
        <f>E145-E61+E144</f>
        <v>-747.78014536051887</v>
      </c>
      <c r="F147" s="6">
        <f>F145-F61+F144</f>
        <v>-651.35488914353914</v>
      </c>
      <c r="G147" s="6">
        <f>G145-G61+G144</f>
        <v>-726.67792502122052</v>
      </c>
      <c r="H147" s="6">
        <f>H145-H61+H144</f>
        <v>-87.484771205058223</v>
      </c>
      <c r="I147" s="6">
        <f>I145-I61+I144</f>
        <v>570.45498643795236</v>
      </c>
      <c r="J147" s="6">
        <f>J145-J61+J144</f>
        <v>1249.1222561653863</v>
      </c>
      <c r="K147" s="6">
        <f>K145-K61+K144</f>
        <v>1946.162057325846</v>
      </c>
      <c r="L147" s="6">
        <f>L145-L61+L144</f>
        <v>2658.8371640114169</v>
      </c>
      <c r="M147" s="163"/>
    </row>
    <row r="148" spans="1:13">
      <c r="A148" s="1" t="s">
        <v>710</v>
      </c>
      <c r="B148" s="174"/>
      <c r="C148" s="15">
        <f>C147/C143</f>
        <v>1.4236089447948961E-2</v>
      </c>
      <c r="D148" s="15">
        <f>D147/D143</f>
        <v>-8.719377162142522E-2</v>
      </c>
      <c r="E148" s="15">
        <f>E147/E143</f>
        <v>-6.4558722302507129E-2</v>
      </c>
      <c r="F148" s="15">
        <f>F147/F143</f>
        <v>-5.1361823278458951E-2</v>
      </c>
      <c r="G148" s="15">
        <f>G147/G143</f>
        <v>-5.386783142854757E-2</v>
      </c>
      <c r="H148" s="15">
        <f>H147/H143</f>
        <v>-6.0888535995506218E-3</v>
      </c>
      <c r="I148" s="15">
        <f>I147/I143</f>
        <v>3.7471159109114541E-2</v>
      </c>
      <c r="J148" s="15">
        <f>J147/J143</f>
        <v>7.7815910564880283E-2</v>
      </c>
      <c r="K148" s="15">
        <f>K147/K143</f>
        <v>0.11551148125437044</v>
      </c>
      <c r="L148" s="15">
        <f>L147/L143</f>
        <v>0.1510123423200303</v>
      </c>
      <c r="M148" s="163"/>
    </row>
    <row r="149" spans="1:13" ht="41.25">
      <c r="A149" s="1" t="s">
        <v>711</v>
      </c>
      <c r="B149" s="169"/>
      <c r="C149" s="6"/>
      <c r="D149" s="6"/>
      <c r="E149" s="6"/>
      <c r="F149" s="6"/>
      <c r="G149" s="6"/>
      <c r="H149" s="6"/>
      <c r="I149" s="6"/>
      <c r="J149" s="6"/>
      <c r="K149" s="6"/>
      <c r="L149" s="47">
        <f>L143*Assumptions!$C$7/Assumptions!$C$8</f>
        <v>2658.8371640114174</v>
      </c>
      <c r="M149" s="163" t="s">
        <v>712</v>
      </c>
    </row>
    <row r="150" spans="1:13" ht="81">
      <c r="A150" s="1" t="s">
        <v>174</v>
      </c>
      <c r="B150" s="174"/>
      <c r="C150" s="15">
        <f>-C121/C40</f>
        <v>2.9000000000000001E-2</v>
      </c>
      <c r="D150" s="15">
        <f>-D121/D40</f>
        <v>0.03</v>
      </c>
      <c r="E150" s="15">
        <f>-E121/E40</f>
        <v>0.03</v>
      </c>
      <c r="F150" s="15">
        <f>-F121/F40</f>
        <v>2.8999999999999998E-2</v>
      </c>
      <c r="G150" s="15">
        <f>-G121/G40</f>
        <v>2.8000000000000001E-2</v>
      </c>
      <c r="H150" s="15">
        <f>-H121/H40</f>
        <v>3.0275874518984454E-2</v>
      </c>
      <c r="I150" s="15">
        <f>-I121/I40</f>
        <v>3.2551749037968904E-2</v>
      </c>
      <c r="J150" s="15">
        <f>-J121/J40</f>
        <v>3.4827623556953353E-2</v>
      </c>
      <c r="K150" s="15">
        <f>-K121/K40</f>
        <v>3.710349807593781E-2</v>
      </c>
      <c r="L150" s="15">
        <f>-L121/L40</f>
        <v>3.937937259492226E-2</v>
      </c>
      <c r="M150" s="163" t="s">
        <v>713</v>
      </c>
    </row>
  </sheetData>
  <printOptions horizontalCentered="1" gridLinesSet="0"/>
  <pageMargins left="0.5" right="0.5" top="0.5" bottom="0.5" header="0.25" footer="0.25"/>
  <pageSetup firstPageNumber="0" fitToHeight="3" orientation="landscape" horizontalDpi="0" verticalDpi="0" copies="0"/>
  <headerFooter>
    <oddFooter>&amp;C&amp;"Arial"&amp;8Point Alpha Capital | PA-RTX-Model | Projections |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FC39B-B06E-4BB9-9EAC-3A9A9E7A3A60}">
  <sheetPr>
    <tabColor rgb="FFA6A6A6"/>
    <pageSetUpPr fitToPage="1"/>
  </sheetPr>
  <dimension ref="A1:Z66"/>
  <sheetViews>
    <sheetView showGridLines="0" workbookViewId="0">
      <pane xSplit="1" ySplit="5" topLeftCell="B6" activePane="bottomRight" state="frozen"/>
      <selection pane="bottomRight"/>
      <selection pane="bottomLeft"/>
      <selection pane="topRight"/>
    </sheetView>
  </sheetViews>
  <sheetFormatPr defaultRowHeight="15"/>
  <cols>
    <col min="1" max="26" width="9.140625" style="1"/>
  </cols>
  <sheetData>
    <row r="1" spans="1:9">
      <c r="A1" s="1" t="s">
        <v>714</v>
      </c>
    </row>
    <row r="2" spans="1:9">
      <c r="A2" s="1" t="s">
        <v>715</v>
      </c>
    </row>
    <row r="5" spans="1:9">
      <c r="A5" s="1" t="s">
        <v>716</v>
      </c>
      <c r="B5" s="1" t="s">
        <v>717</v>
      </c>
      <c r="C5" s="1" t="s">
        <v>718</v>
      </c>
      <c r="D5" s="1" t="s">
        <v>719</v>
      </c>
      <c r="E5" s="1" t="s">
        <v>720</v>
      </c>
    </row>
    <row r="6" spans="1:9">
      <c r="A6" s="31">
        <v>44469</v>
      </c>
      <c r="B6" s="33">
        <v>77.209999999999994</v>
      </c>
      <c r="C6" s="34">
        <v>4307.54</v>
      </c>
    </row>
    <row r="7" spans="1:9">
      <c r="A7" s="31">
        <v>44500</v>
      </c>
      <c r="B7" s="33">
        <v>79.81</v>
      </c>
      <c r="C7" s="34">
        <v>4605.38</v>
      </c>
      <c r="D7" s="25">
        <f>B7/B6-1</f>
        <v>3.3674394508483418E-2</v>
      </c>
      <c r="E7" s="25">
        <f>C7/C6-1</f>
        <v>6.9143873301234615E-2</v>
      </c>
      <c r="G7" s="1" t="s">
        <v>721</v>
      </c>
    </row>
    <row r="8" spans="1:9">
      <c r="A8" s="31">
        <v>44530</v>
      </c>
      <c r="B8" s="33">
        <v>73.11</v>
      </c>
      <c r="C8" s="34">
        <v>4567</v>
      </c>
      <c r="D8" s="25">
        <f>B8/B7-1</f>
        <v>-8.3949379776970368E-2</v>
      </c>
      <c r="E8" s="25">
        <f>C8/C7-1</f>
        <v>-8.3337314184714906E-3</v>
      </c>
      <c r="G8" s="1" t="s">
        <v>722</v>
      </c>
      <c r="H8" s="36">
        <f>SLOPE(D7:D66,E7:E66)</f>
        <v>0.31529531248232462</v>
      </c>
      <c r="I8" s="1" t="s">
        <v>723</v>
      </c>
    </row>
    <row r="9" spans="1:9">
      <c r="A9" s="31">
        <v>44561</v>
      </c>
      <c r="B9" s="33">
        <v>77.75</v>
      </c>
      <c r="C9" s="34">
        <v>4766.18</v>
      </c>
      <c r="D9" s="25">
        <f>B9/B8-1</f>
        <v>6.3466010121734362E-2</v>
      </c>
      <c r="E9" s="25">
        <f>C9/C8-1</f>
        <v>4.3612874972629889E-2</v>
      </c>
      <c r="G9" s="1" t="s">
        <v>724</v>
      </c>
      <c r="H9" s="37">
        <f>INTERCEPT(D7:D66,E7:E66)</f>
        <v>1.3724769624745928E-2</v>
      </c>
      <c r="I9" s="1" t="s">
        <v>725</v>
      </c>
    </row>
    <row r="10" spans="1:9">
      <c r="A10" s="31">
        <v>44592</v>
      </c>
      <c r="B10" s="33">
        <v>81.48</v>
      </c>
      <c r="C10" s="34">
        <v>4515.55</v>
      </c>
      <c r="D10" s="25">
        <f>B10/B9-1</f>
        <v>4.7974276527331217E-2</v>
      </c>
      <c r="E10" s="25">
        <f>C10/C9-1</f>
        <v>-5.2585089106999772E-2</v>
      </c>
      <c r="G10" s="1" t="s">
        <v>726</v>
      </c>
      <c r="H10" s="38">
        <f>RSQ(D7:D66,E7:E66)</f>
        <v>4.20293964919893E-2</v>
      </c>
      <c r="I10" s="1" t="s">
        <v>727</v>
      </c>
    </row>
    <row r="11" spans="1:9">
      <c r="A11" s="31">
        <v>44620</v>
      </c>
      <c r="B11" s="33">
        <v>93.3</v>
      </c>
      <c r="C11" s="34">
        <v>4373.9399999999996</v>
      </c>
      <c r="D11" s="25">
        <f>B11/B10-1</f>
        <v>0.14506627393225324</v>
      </c>
      <c r="E11" s="25">
        <f>C11/C10-1</f>
        <v>-3.1360520866782648E-2</v>
      </c>
      <c r="G11" s="1" t="s">
        <v>728</v>
      </c>
      <c r="H11" s="39">
        <f>COUNT(D7:D66)</f>
        <v>60</v>
      </c>
      <c r="I11" s="1" t="s">
        <v>729</v>
      </c>
    </row>
    <row r="12" spans="1:9">
      <c r="A12" s="31">
        <v>44651</v>
      </c>
      <c r="B12" s="33">
        <v>90</v>
      </c>
      <c r="C12" s="34">
        <v>4530.41</v>
      </c>
      <c r="D12" s="25">
        <f>B12/B11-1</f>
        <v>-3.5369774919614128E-2</v>
      </c>
      <c r="E12" s="25">
        <f>C12/C11-1</f>
        <v>3.5773238773280092E-2</v>
      </c>
      <c r="G12" s="1" t="s">
        <v>730</v>
      </c>
      <c r="H12" s="38">
        <f>STEYX(D7:D66,E7:E66)/SQRT(DEVSQ(E7:E66))</f>
        <v>0.19765282754623778</v>
      </c>
      <c r="I12" s="1" t="s">
        <v>731</v>
      </c>
    </row>
    <row r="13" spans="1:9">
      <c r="A13" s="31">
        <v>44681</v>
      </c>
      <c r="B13" s="33">
        <v>86.22</v>
      </c>
      <c r="C13" s="34">
        <v>4131.93</v>
      </c>
      <c r="D13" s="25">
        <f>B13/B12-1</f>
        <v>-4.2000000000000037E-2</v>
      </c>
      <c r="E13" s="25">
        <f>C13/C12-1</f>
        <v>-8.7956719149039353E-2</v>
      </c>
      <c r="G13" s="1" t="s">
        <v>732</v>
      </c>
      <c r="H13" s="32">
        <f>H8/H12</f>
        <v>1.5951975815198809</v>
      </c>
      <c r="I13" s="1" t="s">
        <v>733</v>
      </c>
    </row>
    <row r="14" spans="1:9">
      <c r="A14" s="31">
        <v>44712</v>
      </c>
      <c r="B14" s="33">
        <v>86.93</v>
      </c>
      <c r="C14" s="34">
        <v>4132.1499999999996</v>
      </c>
      <c r="D14" s="25">
        <f>B14/B13-1</f>
        <v>8.234748318255658E-3</v>
      </c>
      <c r="E14" s="25">
        <f>C14/C13-1</f>
        <v>5.3243883608722342E-5</v>
      </c>
      <c r="G14" s="1" t="s">
        <v>734</v>
      </c>
      <c r="H14" s="33">
        <v>0.67</v>
      </c>
      <c r="I14" s="1" t="s">
        <v>735</v>
      </c>
    </row>
    <row r="15" spans="1:9">
      <c r="A15" s="31">
        <v>44742</v>
      </c>
      <c r="B15" s="33">
        <v>87.83</v>
      </c>
      <c r="C15" s="34">
        <v>3785.38</v>
      </c>
      <c r="D15" s="25">
        <f>B15/B14-1</f>
        <v>1.0353157713102412E-2</v>
      </c>
      <c r="E15" s="25">
        <f>C15/C14-1</f>
        <v>-8.3919993223866451E-2</v>
      </c>
      <c r="G15" s="1" t="s">
        <v>736</v>
      </c>
      <c r="H15" s="33">
        <v>0.33</v>
      </c>
      <c r="I15" s="1" t="s">
        <v>735</v>
      </c>
    </row>
    <row r="16" spans="1:9">
      <c r="A16" s="31">
        <v>44773</v>
      </c>
      <c r="B16" s="33">
        <v>85.18</v>
      </c>
      <c r="C16" s="34">
        <v>4130.29</v>
      </c>
      <c r="D16" s="25">
        <f>B16/B15-1</f>
        <v>-3.0171923033132098E-2</v>
      </c>
      <c r="E16" s="25">
        <f>C16/C15-1</f>
        <v>9.1116347632205885E-2</v>
      </c>
      <c r="G16" s="1" t="s">
        <v>737</v>
      </c>
      <c r="H16" s="33">
        <v>1</v>
      </c>
      <c r="I16" s="1" t="s">
        <v>738</v>
      </c>
    </row>
    <row r="17" spans="1:9">
      <c r="A17" s="31">
        <v>44804</v>
      </c>
      <c r="B17" s="33">
        <v>82.5</v>
      </c>
      <c r="C17" s="34">
        <v>3955</v>
      </c>
      <c r="D17" s="25">
        <f>B17/B16-1</f>
        <v>-3.1462784691242196E-2</v>
      </c>
      <c r="E17" s="25">
        <f>C17/C16-1</f>
        <v>-4.2440119216810457E-2</v>
      </c>
      <c r="G17" s="1" t="s">
        <v>739</v>
      </c>
      <c r="H17" s="36">
        <f>H14*H8+H15*H16</f>
        <v>0.54124785936315756</v>
      </c>
      <c r="I17" s="1" t="s">
        <v>740</v>
      </c>
    </row>
    <row r="18" spans="1:9">
      <c r="A18" s="31">
        <v>44834</v>
      </c>
      <c r="B18" s="33">
        <v>75.25</v>
      </c>
      <c r="C18" s="34">
        <v>3585.62</v>
      </c>
      <c r="D18" s="25">
        <f>B18/B17-1</f>
        <v>-8.787878787878789E-2</v>
      </c>
      <c r="E18" s="25">
        <f>C18/C17-1</f>
        <v>-9.3395701643489315E-2</v>
      </c>
      <c r="G18" s="1" t="s">
        <v>741</v>
      </c>
      <c r="H18" s="33">
        <v>0.1</v>
      </c>
      <c r="I18" s="1" t="s">
        <v>735</v>
      </c>
    </row>
    <row r="19" spans="1:9">
      <c r="A19" s="31">
        <v>44865</v>
      </c>
      <c r="B19" s="33">
        <v>87.16</v>
      </c>
      <c r="C19" s="34">
        <v>3871.98</v>
      </c>
      <c r="D19" s="25">
        <f>B19/B18-1</f>
        <v>0.1582724252491694</v>
      </c>
      <c r="E19" s="25">
        <f>C19/C18-1</f>
        <v>7.9863454576893256E-2</v>
      </c>
      <c r="G19" s="1" t="s">
        <v>742</v>
      </c>
      <c r="H19" s="23" t="str">
        <f>IF(H10&gt;=H18,"Yes","No: R-squared below threshold; WACC uses bottom-up beta")</f>
        <v>No: R-squared below threshold; WACC uses bottom-up beta</v>
      </c>
    </row>
    <row r="20" spans="1:9">
      <c r="A20" s="31">
        <v>44895</v>
      </c>
      <c r="B20" s="33">
        <v>91.28</v>
      </c>
      <c r="C20" s="34">
        <v>4080.11</v>
      </c>
      <c r="D20" s="25">
        <f>B20/B19-1</f>
        <v>4.7269389628269876E-2</v>
      </c>
      <c r="E20" s="25">
        <f>C20/C19-1</f>
        <v>5.3752860293699856E-2</v>
      </c>
      <c r="H20" s="23"/>
    </row>
    <row r="21" spans="1:9">
      <c r="A21" s="31">
        <v>44926</v>
      </c>
      <c r="B21" s="33">
        <v>93.31</v>
      </c>
      <c r="C21" s="34">
        <v>3839.5</v>
      </c>
      <c r="D21" s="25">
        <f>B21/B20-1</f>
        <v>2.223926380368102E-2</v>
      </c>
      <c r="E21" s="25">
        <f>C21/C20-1</f>
        <v>-5.8971449299161094E-2</v>
      </c>
      <c r="G21" s="1" t="s">
        <v>743</v>
      </c>
      <c r="H21" s="23"/>
    </row>
    <row r="22" spans="1:9">
      <c r="A22" s="31">
        <v>44957</v>
      </c>
      <c r="B22" s="33">
        <v>92.32</v>
      </c>
      <c r="C22" s="34">
        <v>4076.6</v>
      </c>
      <c r="D22" s="25">
        <f>B22/B21-1</f>
        <v>-1.0609795305969394E-2</v>
      </c>
      <c r="E22" s="25">
        <f>C22/C21-1</f>
        <v>6.1752832400052027E-2</v>
      </c>
      <c r="G22" s="1" t="s">
        <v>744</v>
      </c>
      <c r="H22" s="32">
        <f>MIN(B55:B66,WACC!B6)</f>
        <v>173.03</v>
      </c>
      <c r="I22" s="1" t="s">
        <v>745</v>
      </c>
    </row>
    <row r="23" spans="1:9">
      <c r="A23" s="31">
        <v>44985</v>
      </c>
      <c r="B23" s="33">
        <v>91.19</v>
      </c>
      <c r="C23" s="34">
        <v>3970.15</v>
      </c>
      <c r="D23" s="25">
        <f>B23/B22-1</f>
        <v>-1.2240034662045041E-2</v>
      </c>
      <c r="E23" s="25">
        <f>C23/C22-1</f>
        <v>-2.6112446646715304E-2</v>
      </c>
      <c r="G23" s="1" t="s">
        <v>746</v>
      </c>
      <c r="H23" s="32">
        <f>MAX(B55:B66,WACC!B6)</f>
        <v>214.51</v>
      </c>
    </row>
    <row r="24" spans="1:9">
      <c r="A24" s="31">
        <v>45016</v>
      </c>
      <c r="B24" s="33">
        <v>91.05</v>
      </c>
      <c r="C24" s="34">
        <v>4109.3100000000004</v>
      </c>
      <c r="D24" s="25">
        <f>B24/B23-1</f>
        <v>-1.5352560587783559E-3</v>
      </c>
      <c r="E24" s="25">
        <f>C24/C23-1</f>
        <v>3.5051572358727023E-2</v>
      </c>
      <c r="H24" s="23"/>
    </row>
    <row r="25" spans="1:9">
      <c r="A25" s="31">
        <v>45046</v>
      </c>
      <c r="B25" s="33">
        <v>92.88</v>
      </c>
      <c r="C25" s="34">
        <v>4169.4799999999996</v>
      </c>
      <c r="D25" s="25">
        <f>B25/B24-1</f>
        <v>2.0098846787479419E-2</v>
      </c>
      <c r="E25" s="25">
        <f>C25/C24-1</f>
        <v>1.464236088297044E-2</v>
      </c>
      <c r="G25" s="1" t="s">
        <v>747</v>
      </c>
      <c r="H25" s="23"/>
    </row>
    <row r="26" spans="1:9">
      <c r="A26" s="31">
        <v>45077</v>
      </c>
      <c r="B26" s="33">
        <v>86.19</v>
      </c>
      <c r="C26" s="34">
        <v>4179.83</v>
      </c>
      <c r="D26" s="25">
        <f>B26/B25-1</f>
        <v>-7.2028423772609762E-2</v>
      </c>
      <c r="E26" s="25">
        <f>C26/C25-1</f>
        <v>2.4823239348792381E-3</v>
      </c>
      <c r="G26" s="1" t="s">
        <v>748</v>
      </c>
      <c r="H26" s="40">
        <v>0.31530000000000002</v>
      </c>
      <c r="I26" s="1" t="s">
        <v>749</v>
      </c>
    </row>
    <row r="27" spans="1:9">
      <c r="A27" s="31">
        <v>45107</v>
      </c>
      <c r="B27" s="33">
        <v>91.63</v>
      </c>
      <c r="C27" s="34">
        <v>4450.38</v>
      </c>
      <c r="D27" s="25">
        <f>B27/B26-1</f>
        <v>6.3116370808678379E-2</v>
      </c>
      <c r="E27" s="25">
        <f>C27/C26-1</f>
        <v>6.4727512841431301E-2</v>
      </c>
      <c r="G27" s="1" t="s">
        <v>750</v>
      </c>
      <c r="H27" s="36">
        <f>H8-H26</f>
        <v>-4.6875176754057613E-6</v>
      </c>
    </row>
    <row r="28" spans="1:9">
      <c r="A28" s="31">
        <v>45138</v>
      </c>
      <c r="B28" s="33">
        <v>82.25</v>
      </c>
      <c r="C28" s="34">
        <v>4588.96</v>
      </c>
      <c r="D28" s="25">
        <f>B28/B27-1</f>
        <v>-0.10236822001527879</v>
      </c>
      <c r="E28" s="25">
        <f>C28/C27-1</f>
        <v>3.1138913980379268E-2</v>
      </c>
    </row>
    <row r="29" spans="1:9">
      <c r="A29" s="31">
        <v>45169</v>
      </c>
      <c r="B29" s="33">
        <v>81.040000000000006</v>
      </c>
      <c r="C29" s="34">
        <v>4507.66</v>
      </c>
      <c r="D29" s="25">
        <f>B29/B28-1</f>
        <v>-1.4711246200607819E-2</v>
      </c>
      <c r="E29" s="25">
        <f>C29/C28-1</f>
        <v>-1.771643248143373E-2</v>
      </c>
    </row>
    <row r="30" spans="1:9">
      <c r="A30" s="31">
        <v>45199</v>
      </c>
      <c r="B30" s="33">
        <v>67.790000000000006</v>
      </c>
      <c r="C30" s="34">
        <v>4288.05</v>
      </c>
      <c r="D30" s="25">
        <f>B30/B29-1</f>
        <v>-0.16349950641658439</v>
      </c>
      <c r="E30" s="25">
        <f>C30/C29-1</f>
        <v>-4.871929116215501E-2</v>
      </c>
    </row>
    <row r="31" spans="1:9">
      <c r="A31" s="31">
        <v>45230</v>
      </c>
      <c r="B31" s="33">
        <v>76.66</v>
      </c>
      <c r="C31" s="34">
        <v>4193.8</v>
      </c>
      <c r="D31" s="25">
        <f>B31/B30-1</f>
        <v>0.13084525741259756</v>
      </c>
      <c r="E31" s="25">
        <f>C31/C30-1</f>
        <v>-2.1979687736850106E-2</v>
      </c>
    </row>
    <row r="32" spans="1:9">
      <c r="A32" s="31">
        <v>45260</v>
      </c>
      <c r="B32" s="33">
        <v>77.31</v>
      </c>
      <c r="C32" s="34">
        <v>4567.8</v>
      </c>
      <c r="D32" s="25">
        <f>B32/B31-1</f>
        <v>8.4789981737543041E-3</v>
      </c>
      <c r="E32" s="25">
        <f>C32/C31-1</f>
        <v>8.9179264628737709E-2</v>
      </c>
    </row>
    <row r="33" spans="1:5">
      <c r="A33" s="31">
        <v>45291</v>
      </c>
      <c r="B33" s="33">
        <v>79.84</v>
      </c>
      <c r="C33" s="34">
        <v>4769.83</v>
      </c>
      <c r="D33" s="25">
        <f>B33/B32-1</f>
        <v>3.2725391281852367E-2</v>
      </c>
      <c r="E33" s="25">
        <f>C33/C32-1</f>
        <v>4.4229169403213753E-2</v>
      </c>
    </row>
    <row r="34" spans="1:5">
      <c r="A34" s="31">
        <v>45322</v>
      </c>
      <c r="B34" s="33">
        <v>86.46</v>
      </c>
      <c r="C34" s="34">
        <v>4845.6499999999996</v>
      </c>
      <c r="D34" s="25">
        <f>B34/B33-1</f>
        <v>8.29158316633265E-2</v>
      </c>
      <c r="E34" s="25">
        <f>C34/C33-1</f>
        <v>1.5895744712075555E-2</v>
      </c>
    </row>
    <row r="35" spans="1:5">
      <c r="A35" s="31">
        <v>45351</v>
      </c>
      <c r="B35" s="33">
        <v>85.65</v>
      </c>
      <c r="C35" s="34">
        <v>5096.2700000000004</v>
      </c>
      <c r="D35" s="25">
        <f>B35/B34-1</f>
        <v>-9.3684941013183476E-3</v>
      </c>
      <c r="E35" s="25">
        <f>C35/C34-1</f>
        <v>5.1720615397315317E-2</v>
      </c>
    </row>
    <row r="36" spans="1:5">
      <c r="A36" s="31">
        <v>45382</v>
      </c>
      <c r="B36" s="33">
        <v>93.15</v>
      </c>
      <c r="C36" s="34">
        <v>5254.35</v>
      </c>
      <c r="D36" s="25">
        <f>B36/B35-1</f>
        <v>8.7565674255691839E-2</v>
      </c>
      <c r="E36" s="25">
        <f>C36/C35-1</f>
        <v>3.1018764704381807E-2</v>
      </c>
    </row>
    <row r="37" spans="1:5">
      <c r="A37" s="31">
        <v>45412</v>
      </c>
      <c r="B37" s="33">
        <v>96.96</v>
      </c>
      <c r="C37" s="34">
        <v>5035.6899999999996</v>
      </c>
      <c r="D37" s="25">
        <f>B37/B36-1</f>
        <v>4.0901771336553816E-2</v>
      </c>
      <c r="E37" s="25">
        <f>C37/C36-1</f>
        <v>-4.1615042774082567E-2</v>
      </c>
    </row>
    <row r="38" spans="1:5">
      <c r="A38" s="31">
        <v>45443</v>
      </c>
      <c r="B38" s="33">
        <v>103.59</v>
      </c>
      <c r="C38" s="34">
        <v>5277.51</v>
      </c>
      <c r="D38" s="25">
        <f>B38/B37-1</f>
        <v>6.8378712871287162E-2</v>
      </c>
      <c r="E38" s="25">
        <f>C38/C37-1</f>
        <v>4.8021224499522619E-2</v>
      </c>
    </row>
    <row r="39" spans="1:5">
      <c r="A39" s="31">
        <v>45473</v>
      </c>
      <c r="B39" s="33">
        <v>96.46</v>
      </c>
      <c r="C39" s="34">
        <v>5460.48</v>
      </c>
      <c r="D39" s="25">
        <f>B39/B38-1</f>
        <v>-6.8829037551887295E-2</v>
      </c>
      <c r="E39" s="25">
        <f>C39/C38-1</f>
        <v>3.4669759034089864E-2</v>
      </c>
    </row>
    <row r="40" spans="1:5">
      <c r="A40" s="31">
        <v>45504</v>
      </c>
      <c r="B40" s="33">
        <v>112.89</v>
      </c>
      <c r="C40" s="34">
        <v>5522.3</v>
      </c>
      <c r="D40" s="25">
        <f>B40/B39-1</f>
        <v>0.17032967032967039</v>
      </c>
      <c r="E40" s="25">
        <f>C40/C39-1</f>
        <v>1.1321349038912354E-2</v>
      </c>
    </row>
    <row r="41" spans="1:5">
      <c r="A41" s="31">
        <v>45535</v>
      </c>
      <c r="B41" s="33">
        <v>119.15</v>
      </c>
      <c r="C41" s="34">
        <v>5648.4</v>
      </c>
      <c r="D41" s="25">
        <f>B41/B40-1</f>
        <v>5.5452210116042178E-2</v>
      </c>
      <c r="E41" s="25">
        <f>C41/C40-1</f>
        <v>2.2834688445031892E-2</v>
      </c>
    </row>
    <row r="42" spans="1:5">
      <c r="A42" s="31">
        <v>45565</v>
      </c>
      <c r="B42" s="33">
        <v>117.04</v>
      </c>
      <c r="C42" s="34">
        <v>5762.48</v>
      </c>
      <c r="D42" s="25">
        <f>B42/B41-1</f>
        <v>-1.7708770457406597E-2</v>
      </c>
      <c r="E42" s="25">
        <f>C42/C41-1</f>
        <v>2.0196869910062976E-2</v>
      </c>
    </row>
    <row r="43" spans="1:5">
      <c r="A43" s="31">
        <v>45596</v>
      </c>
      <c r="B43" s="33">
        <v>116.88</v>
      </c>
      <c r="C43" s="34">
        <v>5705.45</v>
      </c>
      <c r="D43" s="25">
        <f>B43/B42-1</f>
        <v>-1.3670539986330166E-3</v>
      </c>
      <c r="E43" s="25">
        <f>C43/C42-1</f>
        <v>-9.8967805528175079E-3</v>
      </c>
    </row>
    <row r="44" spans="1:5">
      <c r="A44" s="31">
        <v>45626</v>
      </c>
      <c r="B44" s="33">
        <v>118.32</v>
      </c>
      <c r="C44" s="34">
        <v>6032.38</v>
      </c>
      <c r="D44" s="25">
        <f>B44/B43-1</f>
        <v>1.2320328542094527E-2</v>
      </c>
      <c r="E44" s="25">
        <f>C44/C43-1</f>
        <v>5.7301352215863854E-2</v>
      </c>
    </row>
    <row r="45" spans="1:5">
      <c r="A45" s="31">
        <v>45657</v>
      </c>
      <c r="B45" s="33">
        <v>112.38</v>
      </c>
      <c r="C45" s="34">
        <v>5881.63</v>
      </c>
      <c r="D45" s="25">
        <f>B45/B44-1</f>
        <v>-5.0202839756592232E-2</v>
      </c>
      <c r="E45" s="25">
        <f>C45/C44-1</f>
        <v>-2.4990136563014964E-2</v>
      </c>
    </row>
    <row r="46" spans="1:5">
      <c r="A46" s="31">
        <v>45688</v>
      </c>
      <c r="B46" s="33">
        <v>125.23</v>
      </c>
      <c r="C46" s="34">
        <v>6040.53</v>
      </c>
      <c r="D46" s="25">
        <f>B46/B45-1</f>
        <v>0.11434418935753698</v>
      </c>
      <c r="E46" s="25">
        <f>C46/C45-1</f>
        <v>2.7016320305765618E-2</v>
      </c>
    </row>
    <row r="47" spans="1:5">
      <c r="A47" s="31">
        <v>45716</v>
      </c>
      <c r="B47" s="33">
        <v>129.81</v>
      </c>
      <c r="C47" s="34">
        <v>5954.5</v>
      </c>
      <c r="D47" s="25">
        <f>B47/B46-1</f>
        <v>3.6572706220554085E-2</v>
      </c>
      <c r="E47" s="25">
        <f>C47/C46-1</f>
        <v>-1.4242127760312417E-2</v>
      </c>
    </row>
    <row r="48" spans="1:5">
      <c r="A48" s="31">
        <v>45747</v>
      </c>
      <c r="B48" s="33">
        <v>129.29</v>
      </c>
      <c r="C48" s="34">
        <v>5611.85</v>
      </c>
      <c r="D48" s="25">
        <f>B48/B47-1</f>
        <v>-4.005854710731116E-3</v>
      </c>
      <c r="E48" s="25">
        <f>C48/C47-1</f>
        <v>-5.7544714081786852E-2</v>
      </c>
    </row>
    <row r="49" spans="1:5">
      <c r="A49" s="31">
        <v>45777</v>
      </c>
      <c r="B49" s="33">
        <v>123.11</v>
      </c>
      <c r="C49" s="34">
        <v>5569.06</v>
      </c>
      <c r="D49" s="25">
        <f>B49/B48-1</f>
        <v>-4.7799520457885269E-2</v>
      </c>
      <c r="E49" s="25">
        <f>C49/C48-1</f>
        <v>-7.6249365182604611E-3</v>
      </c>
    </row>
    <row r="50" spans="1:5">
      <c r="A50" s="31">
        <v>45808</v>
      </c>
      <c r="B50" s="33">
        <v>133.88999999999999</v>
      </c>
      <c r="C50" s="34">
        <v>5911.69</v>
      </c>
      <c r="D50" s="25">
        <f>B50/B49-1</f>
        <v>8.7563967183819313E-2</v>
      </c>
      <c r="E50" s="25">
        <f>C50/C49-1</f>
        <v>6.1523847830692979E-2</v>
      </c>
    </row>
    <row r="51" spans="1:5">
      <c r="A51" s="31">
        <v>45838</v>
      </c>
      <c r="B51" s="33">
        <v>143.25</v>
      </c>
      <c r="C51" s="34">
        <v>6204.95</v>
      </c>
      <c r="D51" s="25">
        <f>B51/B50-1</f>
        <v>6.9908133542460282E-2</v>
      </c>
      <c r="E51" s="25">
        <f>C51/C50-1</f>
        <v>4.960679602617879E-2</v>
      </c>
    </row>
    <row r="52" spans="1:5">
      <c r="A52" s="31">
        <v>45869</v>
      </c>
      <c r="B52" s="33">
        <v>154.58000000000001</v>
      </c>
      <c r="C52" s="34">
        <v>6339.39</v>
      </c>
      <c r="D52" s="25">
        <f>B52/B51-1</f>
        <v>7.9092495636998272E-2</v>
      </c>
      <c r="E52" s="25">
        <f>C52/C51-1</f>
        <v>2.1666572655702376E-2</v>
      </c>
    </row>
    <row r="53" spans="1:5">
      <c r="A53" s="31">
        <v>45900</v>
      </c>
      <c r="B53" s="33">
        <v>156.28</v>
      </c>
      <c r="C53" s="34">
        <v>6460.26</v>
      </c>
      <c r="D53" s="25">
        <f>B53/B52-1</f>
        <v>1.0997541725967119E-2</v>
      </c>
      <c r="E53" s="25">
        <f>C53/C52-1</f>
        <v>1.9066503244002941E-2</v>
      </c>
    </row>
    <row r="54" spans="1:5">
      <c r="A54" s="31">
        <v>45930</v>
      </c>
      <c r="B54" s="33">
        <v>164.88</v>
      </c>
      <c r="C54" s="34">
        <v>6688.46</v>
      </c>
      <c r="D54" s="25">
        <f>B54/B53-1</f>
        <v>5.5029434348605077E-2</v>
      </c>
      <c r="E54" s="25">
        <f>C54/C53-1</f>
        <v>3.5323655704259549E-2</v>
      </c>
    </row>
    <row r="55" spans="1:5">
      <c r="A55" s="31">
        <v>45961</v>
      </c>
      <c r="B55" s="33">
        <v>175.89</v>
      </c>
      <c r="C55" s="34">
        <v>6840.2</v>
      </c>
      <c r="D55" s="25">
        <f>B55/B54-1</f>
        <v>6.6775836972343461E-2</v>
      </c>
      <c r="E55" s="25">
        <f>C55/C54-1</f>
        <v>2.2686836730727133E-2</v>
      </c>
    </row>
    <row r="56" spans="1:5">
      <c r="A56" s="31">
        <v>45991</v>
      </c>
      <c r="B56" s="33">
        <v>173.03</v>
      </c>
      <c r="C56" s="34">
        <v>6849.09</v>
      </c>
      <c r="D56" s="25">
        <f>B56/B55-1</f>
        <v>-1.6260162601625883E-2</v>
      </c>
      <c r="E56" s="25">
        <f>C56/C55-1</f>
        <v>1.299669600304032E-3</v>
      </c>
    </row>
    <row r="57" spans="1:5">
      <c r="A57" s="31">
        <v>46022</v>
      </c>
      <c r="B57" s="33">
        <v>181.43</v>
      </c>
      <c r="C57" s="34">
        <v>6845.5</v>
      </c>
      <c r="D57" s="25">
        <f>B57/B56-1</f>
        <v>4.8546494827486519E-2</v>
      </c>
      <c r="E57" s="25">
        <f>C57/C56-1</f>
        <v>-5.2415722380638741E-4</v>
      </c>
    </row>
    <row r="58" spans="1:5">
      <c r="A58" s="31">
        <v>46053</v>
      </c>
      <c r="B58" s="33">
        <v>198.77</v>
      </c>
      <c r="C58" s="34">
        <v>6939.03</v>
      </c>
      <c r="D58" s="25">
        <f>B58/B57-1</f>
        <v>9.5574050598026705E-2</v>
      </c>
      <c r="E58" s="25">
        <f>C58/C57-1</f>
        <v>1.3662990285588927E-2</v>
      </c>
    </row>
    <row r="59" spans="1:5">
      <c r="A59" s="31">
        <v>46081</v>
      </c>
      <c r="B59" s="33">
        <v>201.11</v>
      </c>
      <c r="C59" s="34">
        <v>6878.88</v>
      </c>
      <c r="D59" s="25">
        <f>B59/B58-1</f>
        <v>1.1772400261608862E-2</v>
      </c>
      <c r="E59" s="25">
        <f>C59/C58-1</f>
        <v>-8.6683585457909551E-3</v>
      </c>
    </row>
    <row r="60" spans="1:5">
      <c r="A60" s="31">
        <v>46112</v>
      </c>
      <c r="B60" s="33">
        <v>191.46</v>
      </c>
      <c r="C60" s="34">
        <v>6528.52</v>
      </c>
      <c r="D60" s="25">
        <f>B60/B59-1</f>
        <v>-4.7983690517627187E-2</v>
      </c>
      <c r="E60" s="25">
        <f>C60/C59-1</f>
        <v>-5.0932709976042601E-2</v>
      </c>
    </row>
    <row r="61" spans="1:5">
      <c r="A61" s="31">
        <v>46142</v>
      </c>
      <c r="B61" s="33">
        <v>174.76</v>
      </c>
      <c r="C61" s="34">
        <v>7209.01</v>
      </c>
      <c r="D61" s="25">
        <f>B61/B60-1</f>
        <v>-8.722448553222617E-2</v>
      </c>
      <c r="E61" s="25">
        <f>C61/C60-1</f>
        <v>0.10423342503354505</v>
      </c>
    </row>
    <row r="62" spans="1:5">
      <c r="A62" s="31">
        <v>46173</v>
      </c>
      <c r="B62" s="33">
        <v>179.07</v>
      </c>
      <c r="C62" s="34">
        <v>7580.06</v>
      </c>
      <c r="D62" s="25">
        <f>B62/B61-1</f>
        <v>2.4662394140535504E-2</v>
      </c>
      <c r="E62" s="25">
        <f>C62/C61-1</f>
        <v>5.147031284462078E-2</v>
      </c>
    </row>
    <row r="63" spans="1:5">
      <c r="A63" s="31">
        <v>46203</v>
      </c>
      <c r="B63" s="33">
        <v>189.1</v>
      </c>
      <c r="C63" s="34">
        <v>7499.36</v>
      </c>
      <c r="D63" s="25">
        <f>B63/B62-1</f>
        <v>5.6011615569330431E-2</v>
      </c>
      <c r="E63" s="25">
        <f>C63/C62-1</f>
        <v>-1.0646353722793878E-2</v>
      </c>
    </row>
    <row r="64" spans="1:5">
      <c r="A64" s="31">
        <v>46234</v>
      </c>
      <c r="B64" s="33">
        <v>214.51</v>
      </c>
      <c r="C64" s="34">
        <v>7489.72</v>
      </c>
      <c r="D64" s="25">
        <f>B64/B63-1</f>
        <v>0.13437334743521934</v>
      </c>
      <c r="E64" s="25">
        <f>C64/C63-1</f>
        <v>-1.2854430244713111E-3</v>
      </c>
    </row>
    <row r="65" spans="1:5">
      <c r="A65" s="31">
        <v>46265</v>
      </c>
      <c r="B65" s="33">
        <v>207.73</v>
      </c>
      <c r="C65" s="34">
        <v>7686.14</v>
      </c>
      <c r="D65" s="25">
        <f>B65/B64-1</f>
        <v>-3.1606918092396685E-2</v>
      </c>
      <c r="E65" s="25">
        <f>C65/C64-1</f>
        <v>2.6225279449699102E-2</v>
      </c>
    </row>
    <row r="66" spans="1:5">
      <c r="A66" s="31">
        <v>46295</v>
      </c>
      <c r="B66" s="33">
        <v>185.65</v>
      </c>
      <c r="C66" s="34">
        <v>7651.54</v>
      </c>
      <c r="D66" s="25">
        <f>B66/B65-1</f>
        <v>-0.10629182111394586</v>
      </c>
      <c r="E66" s="25">
        <f>C66/C65-1</f>
        <v>-4.5016093904092225E-3</v>
      </c>
    </row>
  </sheetData>
  <printOptions horizontalCentered="1" gridLinesSet="0"/>
  <pageMargins left="0.5" right="0.5" top="0.5" bottom="0.5" header="0.25" footer="0.25"/>
  <pageSetup firstPageNumber="0" orientation="portrait" horizontalDpi="0" verticalDpi="0" copies="0"/>
  <headerFooter>
    <oddFooter>&amp;C&amp;"Arial"&amp;8Point Alpha Capital | PA-RTX-Model | Beta Data | Page &amp;P of &amp;N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9B0B-2267-4971-B30A-B17A69F14122}">
  <sheetPr>
    <tabColor rgb="FFA6A6A6"/>
    <pageSetUpPr fitToPage="1"/>
  </sheetPr>
  <dimension ref="A1:Z47"/>
  <sheetViews>
    <sheetView showGridLines="0" workbookViewId="0">
      <pane xSplit="1" ySplit="2" topLeftCell="B3" activePane="bottomRight" state="frozen"/>
      <selection pane="bottomRight"/>
      <selection pane="bottomLeft"/>
      <selection pane="topRight"/>
    </sheetView>
  </sheetViews>
  <sheetFormatPr defaultRowHeight="15"/>
  <cols>
    <col min="1" max="1" width="9.140625" style="1"/>
    <col min="2" max="2" width="11" style="1" bestFit="1" customWidth="1"/>
    <col min="3" max="26" width="9.140625" style="1"/>
  </cols>
  <sheetData>
    <row r="1" spans="1:3">
      <c r="A1" s="1" t="s">
        <v>751</v>
      </c>
    </row>
    <row r="2" spans="1:3">
      <c r="A2" s="1" t="s">
        <v>752</v>
      </c>
    </row>
    <row r="4" spans="1:3">
      <c r="A4" s="1" t="s">
        <v>753</v>
      </c>
    </row>
    <row r="5" spans="1:3">
      <c r="A5" s="1" t="s">
        <v>754</v>
      </c>
      <c r="B5" s="44">
        <v>46317</v>
      </c>
      <c r="C5" s="1" t="s">
        <v>755</v>
      </c>
    </row>
    <row r="6" spans="1:3">
      <c r="A6" s="1" t="s">
        <v>756</v>
      </c>
      <c r="B6" s="33">
        <v>191.6</v>
      </c>
      <c r="C6" s="1" t="s">
        <v>757</v>
      </c>
    </row>
    <row r="7" spans="1:3">
      <c r="A7" s="1" t="s">
        <v>296</v>
      </c>
      <c r="B7" s="46">
        <f>Historical!I33</f>
        <v>1368.1</v>
      </c>
      <c r="C7" s="1" t="s">
        <v>758</v>
      </c>
    </row>
    <row r="8" spans="1:3">
      <c r="A8" s="1" t="s">
        <v>759</v>
      </c>
      <c r="B8" s="6">
        <f>B6*B7</f>
        <v>262127.95999999996</v>
      </c>
      <c r="C8" s="1" t="s">
        <v>760</v>
      </c>
    </row>
    <row r="9" spans="1:3">
      <c r="A9" s="1" t="s">
        <v>761</v>
      </c>
      <c r="B9" s="47">
        <f>Historical!I142</f>
        <v>37379</v>
      </c>
      <c r="C9" s="1" t="s">
        <v>762</v>
      </c>
    </row>
    <row r="10" spans="1:3">
      <c r="A10" s="1" t="s">
        <v>763</v>
      </c>
      <c r="B10" s="47">
        <f>Historical!I106</f>
        <v>9173</v>
      </c>
      <c r="C10" s="1" t="s">
        <v>64</v>
      </c>
    </row>
    <row r="11" spans="1:3">
      <c r="A11" s="1" t="s">
        <v>476</v>
      </c>
      <c r="B11" s="6">
        <f>B9-B10</f>
        <v>28206</v>
      </c>
      <c r="C11" s="1" t="s">
        <v>265</v>
      </c>
    </row>
    <row r="12" spans="1:3">
      <c r="A12" s="1" t="s">
        <v>764</v>
      </c>
      <c r="B12" s="42">
        <f>B9/B8</f>
        <v>0.14259829435974708</v>
      </c>
      <c r="C12" s="1" t="s">
        <v>265</v>
      </c>
    </row>
    <row r="13" spans="1:3">
      <c r="A13" s="1" t="s">
        <v>765</v>
      </c>
      <c r="B13" s="43">
        <f>B8/(B8+B9)</f>
        <v>0.87519822577745776</v>
      </c>
      <c r="C13" s="1" t="s">
        <v>265</v>
      </c>
    </row>
    <row r="14" spans="1:3">
      <c r="A14" s="1" t="s">
        <v>766</v>
      </c>
      <c r="B14" s="43">
        <f>B9/(B8+B9)</f>
        <v>0.12480177422254229</v>
      </c>
      <c r="C14" s="1" t="s">
        <v>265</v>
      </c>
    </row>
    <row r="15" spans="1:3">
      <c r="B15" s="5"/>
    </row>
    <row r="16" spans="1:3">
      <c r="A16" s="1" t="s">
        <v>767</v>
      </c>
      <c r="B16" s="5"/>
    </row>
    <row r="17" spans="1:3">
      <c r="A17" s="1" t="s">
        <v>768</v>
      </c>
      <c r="B17" s="45">
        <v>5.1299999999999998E-2</v>
      </c>
      <c r="C17" s="1" t="s">
        <v>769</v>
      </c>
    </row>
    <row r="18" spans="1:3">
      <c r="A18" s="1" t="s">
        <v>770</v>
      </c>
      <c r="B18" s="45">
        <v>3.6999999999999998E-2</v>
      </c>
      <c r="C18" s="1" t="s">
        <v>771</v>
      </c>
    </row>
    <row r="19" spans="1:3">
      <c r="A19" s="1" t="s">
        <v>772</v>
      </c>
      <c r="B19" s="48">
        <f>'Beta Data'!H8</f>
        <v>0.31529531248232462</v>
      </c>
      <c r="C19" s="1" t="s">
        <v>773</v>
      </c>
    </row>
    <row r="20" spans="1:3">
      <c r="A20" s="1" t="s">
        <v>774</v>
      </c>
      <c r="B20" s="48">
        <f>'Beta Data'!H10</f>
        <v>4.20293964919893E-2</v>
      </c>
      <c r="C20" s="1" t="s">
        <v>775</v>
      </c>
    </row>
    <row r="21" spans="1:3">
      <c r="A21" s="1" t="s">
        <v>776</v>
      </c>
      <c r="B21" s="48">
        <f>'Beta Data'!H17</f>
        <v>0.54124785936315756</v>
      </c>
      <c r="C21" s="1" t="s">
        <v>777</v>
      </c>
    </row>
    <row r="22" spans="1:3">
      <c r="A22" s="1" t="s">
        <v>742</v>
      </c>
      <c r="B22" s="49" t="str">
        <f>'Beta Data'!H19</f>
        <v>No: R-squared below threshold; WACC uses bottom-up beta</v>
      </c>
      <c r="C22" s="1" t="s">
        <v>778</v>
      </c>
    </row>
    <row r="23" spans="1:3">
      <c r="A23" s="1" t="s">
        <v>779</v>
      </c>
      <c r="B23" s="33">
        <v>0.87</v>
      </c>
      <c r="C23" s="1" t="s">
        <v>780</v>
      </c>
    </row>
    <row r="24" spans="1:3">
      <c r="A24" s="1" t="s">
        <v>781</v>
      </c>
      <c r="B24" s="45">
        <v>0.21</v>
      </c>
      <c r="C24" s="1" t="s">
        <v>782</v>
      </c>
    </row>
    <row r="25" spans="1:3">
      <c r="A25" s="1" t="s">
        <v>783</v>
      </c>
      <c r="B25" s="42">
        <f>B23*(1+(1-B24)*B12)</f>
        <v>0.96800780771345418</v>
      </c>
      <c r="C25" s="1" t="s">
        <v>784</v>
      </c>
    </row>
    <row r="26" spans="1:3">
      <c r="A26" s="1" t="s">
        <v>785</v>
      </c>
      <c r="B26" s="42">
        <f>IF('Beta Data'!H10&gt;='Beta Data'!H18,B21,B25)</f>
        <v>0.96800780771345418</v>
      </c>
      <c r="C26" s="1" t="s">
        <v>786</v>
      </c>
    </row>
    <row r="27" spans="1:3">
      <c r="A27" s="1" t="s">
        <v>787</v>
      </c>
      <c r="B27" s="43">
        <f>B17+B26*B18</f>
        <v>8.7116288885397797E-2</v>
      </c>
      <c r="C27" s="1" t="s">
        <v>788</v>
      </c>
    </row>
    <row r="28" spans="1:3">
      <c r="B28" s="5"/>
    </row>
    <row r="29" spans="1:3">
      <c r="A29" s="1" t="s">
        <v>789</v>
      </c>
      <c r="B29" s="5"/>
    </row>
    <row r="30" spans="1:3">
      <c r="A30" s="1" t="s">
        <v>790</v>
      </c>
      <c r="B30" s="47">
        <f>Historical!F24-Historical!G24</f>
        <v>400</v>
      </c>
      <c r="C30" s="1" t="s">
        <v>791</v>
      </c>
    </row>
    <row r="31" spans="1:3">
      <c r="A31" s="1" t="s">
        <v>792</v>
      </c>
      <c r="B31" s="3">
        <v>390</v>
      </c>
      <c r="C31" s="1" t="s">
        <v>793</v>
      </c>
    </row>
    <row r="32" spans="1:3">
      <c r="A32" s="1" t="s">
        <v>794</v>
      </c>
      <c r="B32" s="3">
        <v>417</v>
      </c>
      <c r="C32" s="1" t="s">
        <v>795</v>
      </c>
    </row>
    <row r="33" spans="1:3">
      <c r="A33" s="1" t="s">
        <v>796</v>
      </c>
      <c r="B33" s="47">
        <f>Historical!I24</f>
        <v>381</v>
      </c>
      <c r="C33" s="1" t="s">
        <v>797</v>
      </c>
    </row>
    <row r="34" spans="1:3">
      <c r="A34" s="1" t="s">
        <v>798</v>
      </c>
      <c r="B34" s="6">
        <f>SUM(B30:B33)</f>
        <v>1588</v>
      </c>
      <c r="C34" s="1" t="s">
        <v>799</v>
      </c>
    </row>
    <row r="35" spans="1:3">
      <c r="A35" s="1" t="s">
        <v>800</v>
      </c>
      <c r="B35" s="3">
        <v>39059</v>
      </c>
      <c r="C35" s="1" t="s">
        <v>801</v>
      </c>
    </row>
    <row r="36" spans="1:3">
      <c r="A36" s="1" t="s">
        <v>802</v>
      </c>
      <c r="B36" s="47">
        <f>Historical!F142</f>
        <v>37904</v>
      </c>
      <c r="C36" s="1" t="s">
        <v>803</v>
      </c>
    </row>
    <row r="37" spans="1:3">
      <c r="A37" s="1" t="s">
        <v>804</v>
      </c>
      <c r="B37" s="3">
        <v>37413</v>
      </c>
      <c r="C37" s="1" t="s">
        <v>805</v>
      </c>
    </row>
    <row r="38" spans="1:3">
      <c r="A38" s="1" t="s">
        <v>806</v>
      </c>
      <c r="B38" s="3">
        <v>37383</v>
      </c>
      <c r="C38" s="1" t="s">
        <v>807</v>
      </c>
    </row>
    <row r="39" spans="1:3">
      <c r="A39" s="1" t="s">
        <v>808</v>
      </c>
      <c r="B39" s="47">
        <f>Historical!I142</f>
        <v>37379</v>
      </c>
      <c r="C39" s="1" t="s">
        <v>797</v>
      </c>
    </row>
    <row r="40" spans="1:3">
      <c r="A40" s="1" t="s">
        <v>809</v>
      </c>
      <c r="B40" s="6">
        <f>AVERAGE(B35:B39)</f>
        <v>37827.599999999999</v>
      </c>
      <c r="C40" s="1" t="s">
        <v>265</v>
      </c>
    </row>
    <row r="41" spans="1:3">
      <c r="A41" s="1" t="s">
        <v>810</v>
      </c>
      <c r="B41" s="43">
        <f>B34/B40</f>
        <v>4.1979929998202374E-2</v>
      </c>
      <c r="C41" s="1" t="s">
        <v>811</v>
      </c>
    </row>
    <row r="42" spans="1:3">
      <c r="A42" s="1" t="s">
        <v>812</v>
      </c>
      <c r="B42" s="43">
        <f>B41*(1-B24)</f>
        <v>3.3164144698579874E-2</v>
      </c>
      <c r="C42" s="1" t="s">
        <v>813</v>
      </c>
    </row>
    <row r="43" spans="1:3">
      <c r="B43" s="5"/>
    </row>
    <row r="44" spans="1:3">
      <c r="A44" s="1" t="s">
        <v>814</v>
      </c>
      <c r="B44" s="5"/>
    </row>
    <row r="45" spans="1:3">
      <c r="A45" s="1" t="s">
        <v>815</v>
      </c>
      <c r="B45" s="43">
        <f>B13*B27</f>
        <v>7.624402146881662E-2</v>
      </c>
      <c r="C45" s="1" t="s">
        <v>265</v>
      </c>
    </row>
    <row r="46" spans="1:3">
      <c r="A46" s="1" t="s">
        <v>816</v>
      </c>
      <c r="B46" s="43">
        <f>B14*B42</f>
        <v>4.1389440989558881E-3</v>
      </c>
      <c r="C46" s="1" t="s">
        <v>265</v>
      </c>
    </row>
    <row r="47" spans="1:3">
      <c r="A47" s="1" t="s">
        <v>70</v>
      </c>
      <c r="B47" s="43">
        <f>B45+B46</f>
        <v>8.038296556777251E-2</v>
      </c>
      <c r="C47" s="1" t="s">
        <v>817</v>
      </c>
    </row>
  </sheetData>
  <printOptions horizontalCentered="1" gridLinesSet="0"/>
  <pageMargins left="0.5" right="0.5" top="0.5" bottom="0.5" header="0.25" footer="0.25"/>
  <pageSetup firstPageNumber="0" orientation="portrait" horizontalDpi="0" verticalDpi="0" copies="0"/>
  <headerFooter>
    <oddFooter>&amp;C&amp;"Arial"&amp;8Point Alpha Capital | PA-RTX-Model | WACC | Page &amp;P of &amp;N</oddFooter>
  </headerFooter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F129C-976D-4A3C-A00D-DFBF128E6912}">
  <sheetPr>
    <tabColor rgb="FF1C2B4A"/>
    <pageSetUpPr fitToPage="1"/>
  </sheetPr>
  <dimension ref="A1:Z52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26" width="9.140625" style="1"/>
  </cols>
  <sheetData>
    <row r="1" spans="1:13">
      <c r="A1" s="1" t="s">
        <v>818</v>
      </c>
    </row>
    <row r="2" spans="1:13">
      <c r="A2" s="1" t="s">
        <v>819</v>
      </c>
    </row>
    <row r="4" spans="1:13">
      <c r="A4" s="23" t="s">
        <v>586</v>
      </c>
      <c r="B4" s="23"/>
      <c r="C4" s="23" t="s">
        <v>43</v>
      </c>
      <c r="D4" s="23" t="s">
        <v>45</v>
      </c>
      <c r="E4" s="23" t="s">
        <v>47</v>
      </c>
      <c r="F4" s="23" t="s">
        <v>48</v>
      </c>
      <c r="G4" s="23" t="s">
        <v>49</v>
      </c>
      <c r="H4" s="23" t="s">
        <v>50</v>
      </c>
      <c r="I4" s="23" t="s">
        <v>51</v>
      </c>
      <c r="J4" s="23" t="s">
        <v>52</v>
      </c>
      <c r="K4" s="23" t="s">
        <v>53</v>
      </c>
      <c r="L4" s="23" t="s">
        <v>54</v>
      </c>
      <c r="M4" s="23" t="s">
        <v>820</v>
      </c>
    </row>
    <row r="6" spans="1:13">
      <c r="A6" s="2" t="s">
        <v>707</v>
      </c>
      <c r="B6" s="2"/>
      <c r="C6" s="29"/>
      <c r="D6" s="29"/>
      <c r="E6" s="29"/>
      <c r="F6" s="29"/>
      <c r="G6" s="29"/>
      <c r="H6" s="29"/>
      <c r="I6" s="29"/>
      <c r="J6" s="29"/>
      <c r="K6" s="29"/>
      <c r="L6" s="29"/>
      <c r="M6" s="30"/>
    </row>
    <row r="7" spans="1:13">
      <c r="A7" s="1" t="s">
        <v>614</v>
      </c>
      <c r="C7" s="47">
        <f>Projections!C47</f>
        <v>11503.752796700828</v>
      </c>
      <c r="D7" s="47">
        <f>Projections!D47</f>
        <v>12931.137500476536</v>
      </c>
      <c r="E7" s="47">
        <f>Projections!E47</f>
        <v>14310.62130596339</v>
      </c>
      <c r="F7" s="47">
        <f>Projections!F47</f>
        <v>15668.114305525667</v>
      </c>
      <c r="G7" s="47">
        <f>Projections!G47</f>
        <v>16666.789914350858</v>
      </c>
      <c r="H7" s="47">
        <f>Projections!H47</f>
        <v>17751.555495460252</v>
      </c>
      <c r="I7" s="47">
        <f>Projections!I47</f>
        <v>18808.914806527831</v>
      </c>
      <c r="J7" s="47">
        <f>Projections!J47</f>
        <v>19832.434509606042</v>
      </c>
      <c r="K7" s="47">
        <f>Projections!K47</f>
        <v>20815.810919204665</v>
      </c>
      <c r="L7" s="47">
        <f>Projections!L47</f>
        <v>21752.981112912013</v>
      </c>
      <c r="M7" s="163" t="s">
        <v>66</v>
      </c>
    </row>
    <row r="8" spans="1:13" ht="51">
      <c r="A8" s="1" t="s">
        <v>165</v>
      </c>
      <c r="C8" s="54">
        <f>Assumptions!C49</f>
        <v>0.16921639612285413</v>
      </c>
      <c r="D8" s="54">
        <f>Assumptions!D49</f>
        <v>0.19060500624470789</v>
      </c>
      <c r="E8" s="54">
        <f>Assumptions!E49</f>
        <v>0.19060500624470789</v>
      </c>
      <c r="F8" s="54">
        <f>Assumptions!F49</f>
        <v>0.19060500624470789</v>
      </c>
      <c r="G8" s="54">
        <f>Assumptions!G49</f>
        <v>0.19060500624470789</v>
      </c>
      <c r="H8" s="54">
        <f>Assumptions!H49</f>
        <v>0.19060500624470789</v>
      </c>
      <c r="I8" s="54">
        <f>Assumptions!I49</f>
        <v>0.19060500624470789</v>
      </c>
      <c r="J8" s="54">
        <f>Assumptions!J49</f>
        <v>0.19060500624470789</v>
      </c>
      <c r="K8" s="54">
        <f>Assumptions!K49</f>
        <v>0.19060500624470789</v>
      </c>
      <c r="L8" s="54">
        <f>Assumptions!L49</f>
        <v>0.19060500624470789</v>
      </c>
      <c r="M8" s="163" t="s">
        <v>821</v>
      </c>
    </row>
    <row r="9" spans="1:13">
      <c r="A9" s="1" t="s">
        <v>822</v>
      </c>
      <c r="C9" s="6">
        <f>C7*(1-C8)</f>
        <v>9557.1292065549096</v>
      </c>
      <c r="D9" s="6">
        <f>D7*(1-D8)</f>
        <v>10466.39795644703</v>
      </c>
      <c r="E9" s="6">
        <f>E7*(1-E8)</f>
        <v>11582.945242574588</v>
      </c>
      <c r="F9" s="6">
        <f>F7*(1-F8)</f>
        <v>12681.69328047815</v>
      </c>
      <c r="G9" s="6">
        <f>G7*(1-G8)</f>
        <v>13490.016318646778</v>
      </c>
      <c r="H9" s="6">
        <f>H7*(1-H8)</f>
        <v>14368.020149394772</v>
      </c>
      <c r="I9" s="6">
        <f>I7*(1-I8)</f>
        <v>15223.841482373415</v>
      </c>
      <c r="J9" s="6">
        <f>J7*(1-J8)</f>
        <v>16052.273206054822</v>
      </c>
      <c r="K9" s="6">
        <f>K7*(1-K8)</f>
        <v>16848.213148961</v>
      </c>
      <c r="L9" s="6">
        <f>L7*(1-L8)</f>
        <v>17606.754012044406</v>
      </c>
      <c r="M9" s="163"/>
    </row>
    <row r="10" spans="1:13">
      <c r="A10" s="1" t="s">
        <v>823</v>
      </c>
      <c r="C10" s="47">
        <f>Projections!C61</f>
        <v>4379.0921246406742</v>
      </c>
      <c r="D10" s="47">
        <f>Projections!D61</f>
        <v>4487.8767560584383</v>
      </c>
      <c r="E10" s="47">
        <f>Projections!E61</f>
        <v>4574.7878253720137</v>
      </c>
      <c r="F10" s="47">
        <f>Projections!F61</f>
        <v>4586.062465736778</v>
      </c>
      <c r="G10" s="47">
        <f>Projections!G61</f>
        <v>4720.1486628236344</v>
      </c>
      <c r="H10" s="47">
        <f>Projections!H61</f>
        <v>4555.2219272452103</v>
      </c>
      <c r="I10" s="47">
        <f>Projections!I61</f>
        <v>4385.2895509628324</v>
      </c>
      <c r="J10" s="47">
        <f>Projections!J61</f>
        <v>4209.167572313866</v>
      </c>
      <c r="K10" s="47">
        <f>Projections!K61</f>
        <v>4025.6986647636859</v>
      </c>
      <c r="L10" s="47">
        <f>Projections!L61</f>
        <v>3833.7737585754053</v>
      </c>
      <c r="M10" s="163" t="s">
        <v>66</v>
      </c>
    </row>
    <row r="11" spans="1:13" ht="30.75">
      <c r="A11" s="1" t="s">
        <v>824</v>
      </c>
      <c r="C11" s="47">
        <f>Projections!C145</f>
        <v>3283.3427312313488</v>
      </c>
      <c r="D11" s="47">
        <f>Projections!D145</f>
        <v>3646.5364259545695</v>
      </c>
      <c r="E11" s="47">
        <f>Projections!E145</f>
        <v>3889.2985979084474</v>
      </c>
      <c r="F11" s="47">
        <f>Projections!F145</f>
        <v>3983.7837142589619</v>
      </c>
      <c r="G11" s="47">
        <f>Projections!G145</f>
        <v>4045.662947713171</v>
      </c>
      <c r="H11" s="47">
        <f>Projections!H145</f>
        <v>4514.3918026563279</v>
      </c>
      <c r="I11" s="47">
        <f>Projections!I145</f>
        <v>5000.2837812396519</v>
      </c>
      <c r="J11" s="47">
        <f>Projections!J145</f>
        <v>5500.211527313093</v>
      </c>
      <c r="K11" s="47">
        <f>Projections!K145</f>
        <v>6010.6745832576171</v>
      </c>
      <c r="L11" s="47">
        <f>Projections!L145</f>
        <v>6527.8479070883423</v>
      </c>
      <c r="M11" s="163" t="s">
        <v>825</v>
      </c>
    </row>
    <row r="12" spans="1:13">
      <c r="A12" s="1" t="s">
        <v>826</v>
      </c>
      <c r="C12" s="47">
        <f>Projections!C144</f>
        <v>1231.8055396594466</v>
      </c>
      <c r="D12" s="47">
        <f>Projections!D144</f>
        <v>-71.264383009525091</v>
      </c>
      <c r="E12" s="47">
        <f>Projections!E144</f>
        <v>-62.290917896952578</v>
      </c>
      <c r="F12" s="47">
        <f>Projections!F144</f>
        <v>-49.076137665723081</v>
      </c>
      <c r="G12" s="47">
        <f>Projections!G144</f>
        <v>-52.192209910757128</v>
      </c>
      <c r="H12" s="47">
        <f>Projections!H144</f>
        <v>-46.654646616175796</v>
      </c>
      <c r="I12" s="47">
        <f>Projections!I144</f>
        <v>-44.539243838867151</v>
      </c>
      <c r="J12" s="47">
        <f>Projections!J144</f>
        <v>-41.921698833840765</v>
      </c>
      <c r="K12" s="47">
        <f>Projections!K144</f>
        <v>-38.813861168085168</v>
      </c>
      <c r="L12" s="47">
        <f>Projections!L144</f>
        <v>-35.236984501520055</v>
      </c>
      <c r="M12" s="163" t="s">
        <v>66</v>
      </c>
    </row>
    <row r="13" spans="1:13" ht="51">
      <c r="A13" s="7" t="s">
        <v>707</v>
      </c>
      <c r="B13" s="7"/>
      <c r="C13" s="9">
        <f>C9+C10-C11-C12</f>
        <v>9421.0730603047887</v>
      </c>
      <c r="D13" s="9">
        <f>D9+D10-D11-D12</f>
        <v>11379.002669560425</v>
      </c>
      <c r="E13" s="9">
        <f>E9+E10-E11-E12</f>
        <v>12330.725387935106</v>
      </c>
      <c r="F13" s="9">
        <f>F9+F10-F11-F12</f>
        <v>13333.048169621688</v>
      </c>
      <c r="G13" s="9">
        <f>G9+G10-G11-G12</f>
        <v>14216.694243668</v>
      </c>
      <c r="H13" s="9">
        <f>H9+H10-H11-H12</f>
        <v>14455.504920599829</v>
      </c>
      <c r="I13" s="9">
        <f>I9+I10-I11-I12</f>
        <v>14653.386495935465</v>
      </c>
      <c r="J13" s="9">
        <f>J9+J10-J11-J12</f>
        <v>14803.150949889436</v>
      </c>
      <c r="K13" s="9">
        <f>K9+K10-K11-K12</f>
        <v>14902.051091635152</v>
      </c>
      <c r="L13" s="9">
        <f>L9+L10-L11-L12</f>
        <v>14947.916848032988</v>
      </c>
      <c r="M13" s="163" t="s">
        <v>827</v>
      </c>
    </row>
    <row r="14" spans="1:13" ht="60.75">
      <c r="A14" s="1" t="s">
        <v>828</v>
      </c>
      <c r="C14" s="54">
        <f>Assumptions!C13</f>
        <v>0.25205479452054796</v>
      </c>
      <c r="D14" s="54">
        <f>IF(Assumptions!D5&gt;Assumptions!$C$5,1,Assumptions!$C$13)</f>
        <v>1</v>
      </c>
      <c r="E14" s="54">
        <f>IF(Assumptions!E5&gt;Assumptions!$C$5,1,Assumptions!$C$13)</f>
        <v>1</v>
      </c>
      <c r="F14" s="54">
        <f>IF(Assumptions!F5&gt;Assumptions!$C$5,1,Assumptions!$C$13)</f>
        <v>1</v>
      </c>
      <c r="G14" s="54">
        <f>IF(Assumptions!G5&gt;Assumptions!$C$5,1,Assumptions!$C$13)</f>
        <v>1</v>
      </c>
      <c r="H14" s="54">
        <f>IF(Assumptions!H5&gt;Assumptions!$C$5,1,Assumptions!$C$13)</f>
        <v>1</v>
      </c>
      <c r="I14" s="54">
        <f>IF(Assumptions!I5&gt;Assumptions!$C$5,1,Assumptions!$C$13)</f>
        <v>1</v>
      </c>
      <c r="J14" s="54">
        <f>IF(Assumptions!J5&gt;Assumptions!$C$5,1,Assumptions!$C$13)</f>
        <v>1</v>
      </c>
      <c r="K14" s="54">
        <f>IF(Assumptions!K5&gt;Assumptions!$C$5,1,Assumptions!$C$13)</f>
        <v>1</v>
      </c>
      <c r="L14" s="54">
        <f>IF(Assumptions!L5&gt;Assumptions!$C$5,1,Assumptions!$C$13)</f>
        <v>1</v>
      </c>
      <c r="M14" s="163" t="s">
        <v>829</v>
      </c>
    </row>
    <row r="15" spans="1:13">
      <c r="A15" s="1" t="s">
        <v>830</v>
      </c>
      <c r="C15" s="6">
        <f>C13*C14</f>
        <v>2374.6266343781936</v>
      </c>
      <c r="D15" s="6">
        <f>D13*D14</f>
        <v>11379.002669560425</v>
      </c>
      <c r="E15" s="6">
        <f>E13*E14</f>
        <v>12330.725387935106</v>
      </c>
      <c r="F15" s="6">
        <f>F13*F14</f>
        <v>13333.048169621688</v>
      </c>
      <c r="G15" s="6">
        <f>G13*G14</f>
        <v>14216.694243668</v>
      </c>
      <c r="H15" s="6">
        <f>H13*H14</f>
        <v>14455.504920599829</v>
      </c>
      <c r="I15" s="6">
        <f>I13*I14</f>
        <v>14653.386495935465</v>
      </c>
      <c r="J15" s="6">
        <f>J13*J14</f>
        <v>14803.150949889436</v>
      </c>
      <c r="K15" s="6">
        <f>K13*K14</f>
        <v>14902.051091635152</v>
      </c>
      <c r="L15" s="6">
        <f>L13*L14</f>
        <v>14947.916848032988</v>
      </c>
      <c r="M15" s="163"/>
    </row>
    <row r="16" spans="1:13" ht="60.75">
      <c r="A16" s="1" t="s">
        <v>831</v>
      </c>
      <c r="C16" s="55">
        <f>Assumptions!C14</f>
        <v>0.19178082191780821</v>
      </c>
      <c r="D16" s="55">
        <f>Assumptions!$C$14+Assumptions!D5-Assumptions!$C$5</f>
        <v>1.1917808219178081</v>
      </c>
      <c r="E16" s="55">
        <f>Assumptions!$C$14+Assumptions!E5-Assumptions!$C$5</f>
        <v>2.1917808219178081</v>
      </c>
      <c r="F16" s="55">
        <f>Assumptions!$C$14+Assumptions!F5-Assumptions!$C$5</f>
        <v>3.1917808219178081</v>
      </c>
      <c r="G16" s="55">
        <f>Assumptions!$C$14+Assumptions!G5-Assumptions!$C$5</f>
        <v>4.1917808219178081</v>
      </c>
      <c r="H16" s="55">
        <f>Assumptions!$C$14+Assumptions!H5-Assumptions!$C$5</f>
        <v>5.1917808219178081</v>
      </c>
      <c r="I16" s="55">
        <f>Assumptions!$C$14+Assumptions!I5-Assumptions!$C$5</f>
        <v>6.1917808219178081</v>
      </c>
      <c r="J16" s="55">
        <f>Assumptions!$C$14+Assumptions!J5-Assumptions!$C$5</f>
        <v>7.1917808219178081</v>
      </c>
      <c r="K16" s="55">
        <f>Assumptions!$C$14+Assumptions!K5-Assumptions!$C$5</f>
        <v>8.1917808219178081</v>
      </c>
      <c r="L16" s="55">
        <f>Assumptions!$C$14+Assumptions!L5-Assumptions!$C$5</f>
        <v>9.1917808219178081</v>
      </c>
      <c r="M16" s="163" t="s">
        <v>832</v>
      </c>
    </row>
    <row r="17" spans="1:13">
      <c r="A17" s="1" t="s">
        <v>833</v>
      </c>
      <c r="C17" s="61">
        <f>1/(1+$C$21)^C16</f>
        <v>0.98528174348217279</v>
      </c>
      <c r="D17" s="61">
        <f>1/(1+$C$21)^D16</f>
        <v>0.91197452651836175</v>
      </c>
      <c r="E17" s="61">
        <f>1/(1+$C$21)^E16</f>
        <v>0.84412153429232628</v>
      </c>
      <c r="F17" s="61">
        <f>1/(1+$C$21)^F16</f>
        <v>0.78131695999919426</v>
      </c>
      <c r="G17" s="61">
        <f>1/(1+$C$21)^G16</f>
        <v>0.72318518978924251</v>
      </c>
      <c r="H17" s="61">
        <f>1/(1+$C$21)^H16</f>
        <v>0.66937855634292387</v>
      </c>
      <c r="I17" s="61">
        <f>1/(1+$C$21)^I16</f>
        <v>0.61957525958505477</v>
      </c>
      <c r="J17" s="61">
        <f>1/(1+$C$21)^J16</f>
        <v>0.57347744210262508</v>
      </c>
      <c r="K17" s="61">
        <f>1/(1+$C$21)^K16</f>
        <v>0.53080940775593044</v>
      </c>
      <c r="L17" s="61">
        <f>1/(1+$C$21)^L16</f>
        <v>0.49131597282911132</v>
      </c>
      <c r="M17" s="163"/>
    </row>
    <row r="18" spans="1:13">
      <c r="A18" s="7" t="s">
        <v>834</v>
      </c>
      <c r="B18" s="7"/>
      <c r="C18" s="9">
        <f>C15*C17</f>
        <v>2339.6762704393504</v>
      </c>
      <c r="D18" s="9">
        <f>D15*D17</f>
        <v>10377.360571823543</v>
      </c>
      <c r="E18" s="9">
        <f>E15*E17</f>
        <v>10408.630833401123</v>
      </c>
      <c r="F18" s="9">
        <f>F15*F17</f>
        <v>10417.336663411639</v>
      </c>
      <c r="G18" s="9">
        <f>G15*G17</f>
        <v>10281.302724782674</v>
      </c>
      <c r="H18" s="9">
        <f>H15*H17</f>
        <v>9676.2050149591469</v>
      </c>
      <c r="I18" s="9">
        <f>I15*I17</f>
        <v>9078.8757420193524</v>
      </c>
      <c r="J18" s="9">
        <f>J15*J17</f>
        <v>8489.2731418016374</v>
      </c>
      <c r="K18" s="9">
        <f>K15*K17</f>
        <v>7910.1489142994715</v>
      </c>
      <c r="L18" s="9">
        <f>L15*L17</f>
        <v>7344.1503079599906</v>
      </c>
      <c r="M18" s="163"/>
    </row>
    <row r="19" spans="1:13">
      <c r="C19" s="6"/>
      <c r="D19" s="6"/>
      <c r="E19" s="6"/>
      <c r="F19" s="6"/>
      <c r="G19" s="6"/>
      <c r="H19" s="6"/>
      <c r="I19" s="6"/>
      <c r="J19" s="6"/>
      <c r="K19" s="6"/>
      <c r="L19" s="6"/>
      <c r="M19" s="163"/>
    </row>
    <row r="20" spans="1:13">
      <c r="A20" s="2" t="s">
        <v>835</v>
      </c>
      <c r="B20" s="2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30"/>
    </row>
    <row r="21" spans="1:13">
      <c r="A21" s="1" t="s">
        <v>70</v>
      </c>
      <c r="C21" s="63">
        <f>WACC!B47</f>
        <v>8.038296556777251E-2</v>
      </c>
      <c r="D21" s="43"/>
      <c r="E21" s="43"/>
      <c r="F21" s="43"/>
      <c r="G21" s="43"/>
      <c r="H21" s="43"/>
      <c r="I21" s="43"/>
      <c r="J21" s="43"/>
      <c r="K21" s="43"/>
      <c r="L21" s="43"/>
      <c r="M21" s="163" t="s">
        <v>98</v>
      </c>
    </row>
    <row r="22" spans="1:13" ht="20.25">
      <c r="A22" s="1" t="s">
        <v>836</v>
      </c>
      <c r="C22" s="54">
        <f>Assumptions!C7</f>
        <v>0.03</v>
      </c>
      <c r="D22" s="15"/>
      <c r="E22" s="15"/>
      <c r="F22" s="15"/>
      <c r="G22" s="15"/>
      <c r="H22" s="15"/>
      <c r="I22" s="15"/>
      <c r="J22" s="15"/>
      <c r="K22" s="15"/>
      <c r="L22" s="15"/>
      <c r="M22" s="163" t="s">
        <v>62</v>
      </c>
    </row>
    <row r="23" spans="1:13" ht="20.25">
      <c r="A23" s="1" t="s">
        <v>837</v>
      </c>
      <c r="C23" s="62" t="b">
        <f>C22&lt;C21</f>
        <v>1</v>
      </c>
      <c r="D23" s="62"/>
      <c r="E23" s="62"/>
      <c r="F23" s="62"/>
      <c r="G23" s="62"/>
      <c r="H23" s="62"/>
      <c r="I23" s="62"/>
      <c r="J23" s="62"/>
      <c r="K23" s="62"/>
      <c r="L23" s="62"/>
      <c r="M23" s="163" t="s">
        <v>838</v>
      </c>
    </row>
    <row r="24" spans="1:13" ht="20.25">
      <c r="A24" s="1" t="s">
        <v>839</v>
      </c>
      <c r="C24" s="54">
        <f>Assumptions!C8</f>
        <v>0.19865925883344693</v>
      </c>
      <c r="D24" s="15"/>
      <c r="E24" s="15"/>
      <c r="F24" s="15"/>
      <c r="G24" s="15"/>
      <c r="H24" s="15"/>
      <c r="I24" s="15"/>
      <c r="J24" s="15"/>
      <c r="K24" s="15"/>
      <c r="L24" s="15"/>
      <c r="M24" s="163" t="s">
        <v>62</v>
      </c>
    </row>
    <row r="25" spans="1:13">
      <c r="A25" s="1" t="s">
        <v>840</v>
      </c>
      <c r="C25" s="6">
        <f>L9</f>
        <v>17606.754012044406</v>
      </c>
      <c r="D25" s="6"/>
      <c r="E25" s="6"/>
      <c r="F25" s="6"/>
      <c r="G25" s="6"/>
      <c r="H25" s="6"/>
      <c r="I25" s="6"/>
      <c r="J25" s="6"/>
      <c r="K25" s="6"/>
      <c r="L25" s="6"/>
      <c r="M25" s="163"/>
    </row>
    <row r="26" spans="1:13" ht="30.75">
      <c r="A26" s="1" t="s">
        <v>841</v>
      </c>
      <c r="C26" s="6">
        <f>L11-L10+L12</f>
        <v>2658.8371640114169</v>
      </c>
      <c r="D26" s="6"/>
      <c r="E26" s="6"/>
      <c r="F26" s="6"/>
      <c r="G26" s="6"/>
      <c r="H26" s="6"/>
      <c r="I26" s="6"/>
      <c r="J26" s="6"/>
      <c r="K26" s="6"/>
      <c r="L26" s="6"/>
      <c r="M26" s="163" t="s">
        <v>842</v>
      </c>
    </row>
    <row r="27" spans="1:13" ht="30.75">
      <c r="A27" s="1" t="s">
        <v>843</v>
      </c>
      <c r="C27" s="6">
        <f>C25*C22/C24</f>
        <v>2658.8371640114174</v>
      </c>
      <c r="D27" s="6"/>
      <c r="E27" s="6"/>
      <c r="F27" s="6"/>
      <c r="G27" s="6"/>
      <c r="H27" s="6"/>
      <c r="I27" s="6"/>
      <c r="J27" s="6"/>
      <c r="K27" s="6"/>
      <c r="L27" s="6"/>
      <c r="M27" s="163" t="s">
        <v>844</v>
      </c>
    </row>
    <row r="28" spans="1:13" ht="20.25">
      <c r="A28" s="1" t="s">
        <v>845</v>
      </c>
      <c r="C28" s="62" t="b">
        <f>ROUND(C26-C27,3)=0</f>
        <v>1</v>
      </c>
      <c r="D28" s="62"/>
      <c r="E28" s="62"/>
      <c r="F28" s="62"/>
      <c r="G28" s="62"/>
      <c r="H28" s="62"/>
      <c r="I28" s="62"/>
      <c r="J28" s="62"/>
      <c r="K28" s="62"/>
      <c r="L28" s="62"/>
      <c r="M28" s="163" t="s">
        <v>838</v>
      </c>
    </row>
    <row r="29" spans="1:13">
      <c r="A29" s="1" t="s">
        <v>846</v>
      </c>
      <c r="C29" s="6">
        <f>L13</f>
        <v>14947.916848032988</v>
      </c>
      <c r="D29" s="6"/>
      <c r="E29" s="6"/>
      <c r="F29" s="6"/>
      <c r="G29" s="6"/>
      <c r="H29" s="6"/>
      <c r="I29" s="6"/>
      <c r="J29" s="6"/>
      <c r="K29" s="6"/>
      <c r="L29" s="6"/>
      <c r="M29" s="163"/>
    </row>
    <row r="30" spans="1:13" ht="30.75">
      <c r="A30" s="7" t="s">
        <v>847</v>
      </c>
      <c r="B30" s="7"/>
      <c r="C30" s="14">
        <f>C29*(1+C22)/(C21-C22)</f>
        <v>305586.50488256023</v>
      </c>
      <c r="D30" s="14"/>
      <c r="E30" s="14"/>
      <c r="F30" s="14"/>
      <c r="G30" s="14"/>
      <c r="H30" s="14"/>
      <c r="I30" s="14"/>
      <c r="J30" s="14"/>
      <c r="K30" s="14"/>
      <c r="L30" s="14"/>
      <c r="M30" s="163" t="s">
        <v>848</v>
      </c>
    </row>
    <row r="31" spans="1:13" ht="41.25">
      <c r="A31" s="1" t="s">
        <v>849</v>
      </c>
      <c r="C31" s="6">
        <f>C30*L17</f>
        <v>150139.53092982306</v>
      </c>
      <c r="D31" s="6"/>
      <c r="E31" s="6"/>
      <c r="F31" s="6"/>
      <c r="G31" s="6"/>
      <c r="H31" s="6"/>
      <c r="I31" s="6"/>
      <c r="J31" s="6"/>
      <c r="K31" s="6"/>
      <c r="L31" s="6"/>
      <c r="M31" s="163" t="s">
        <v>850</v>
      </c>
    </row>
    <row r="32" spans="1:13" ht="20.25">
      <c r="A32" s="1" t="s">
        <v>851</v>
      </c>
      <c r="C32" s="64">
        <f>C30/Projections!L62</f>
        <v>11.943152088547592</v>
      </c>
      <c r="D32" s="28"/>
      <c r="E32" s="28"/>
      <c r="F32" s="28"/>
      <c r="G32" s="28"/>
      <c r="H32" s="28"/>
      <c r="I32" s="28"/>
      <c r="J32" s="28"/>
      <c r="K32" s="28"/>
      <c r="L32" s="28"/>
      <c r="M32" s="163" t="s">
        <v>852</v>
      </c>
    </row>
    <row r="33" spans="1:13">
      <c r="C33" s="6"/>
      <c r="D33" s="6"/>
      <c r="E33" s="6"/>
      <c r="F33" s="6"/>
      <c r="G33" s="6"/>
      <c r="H33" s="6"/>
      <c r="I33" s="6"/>
      <c r="J33" s="6"/>
      <c r="K33" s="6"/>
      <c r="L33" s="6"/>
      <c r="M33" s="163"/>
    </row>
    <row r="34" spans="1:13">
      <c r="A34" s="2" t="s">
        <v>853</v>
      </c>
      <c r="B34" s="2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30"/>
    </row>
    <row r="35" spans="1:13">
      <c r="A35" s="1" t="s">
        <v>854</v>
      </c>
      <c r="C35" s="6">
        <f>SUM(C18:L18)</f>
        <v>86322.960184897922</v>
      </c>
      <c r="D35" s="6"/>
      <c r="E35" s="6"/>
      <c r="F35" s="6"/>
      <c r="G35" s="6"/>
      <c r="H35" s="6"/>
      <c r="I35" s="6"/>
      <c r="J35" s="6"/>
      <c r="K35" s="6"/>
      <c r="L35" s="6"/>
      <c r="M35" s="163"/>
    </row>
    <row r="36" spans="1:13">
      <c r="A36" s="1" t="s">
        <v>855</v>
      </c>
      <c r="C36" s="6">
        <f>C31</f>
        <v>150139.53092982306</v>
      </c>
      <c r="D36" s="6"/>
      <c r="E36" s="6"/>
      <c r="F36" s="6"/>
      <c r="G36" s="6"/>
      <c r="H36" s="6"/>
      <c r="I36" s="6"/>
      <c r="J36" s="6"/>
      <c r="K36" s="6"/>
      <c r="L36" s="6"/>
      <c r="M36" s="163"/>
    </row>
    <row r="37" spans="1:13">
      <c r="A37" s="7" t="s">
        <v>856</v>
      </c>
      <c r="B37" s="7"/>
      <c r="C37" s="9">
        <f>C35+C36</f>
        <v>236462.49111472099</v>
      </c>
      <c r="D37" s="9"/>
      <c r="E37" s="9"/>
      <c r="F37" s="9"/>
      <c r="G37" s="9"/>
      <c r="H37" s="9"/>
      <c r="I37" s="9"/>
      <c r="J37" s="9"/>
      <c r="K37" s="9"/>
      <c r="L37" s="9"/>
      <c r="M37" s="163"/>
    </row>
    <row r="38" spans="1:13">
      <c r="A38" s="1" t="s">
        <v>857</v>
      </c>
      <c r="C38" s="15">
        <f>C36/C37</f>
        <v>0.63494015571789819</v>
      </c>
      <c r="D38" s="15"/>
      <c r="E38" s="15"/>
      <c r="F38" s="15"/>
      <c r="G38" s="15"/>
      <c r="H38" s="15"/>
      <c r="I38" s="15"/>
      <c r="J38" s="15"/>
      <c r="K38" s="15"/>
      <c r="L38" s="15"/>
      <c r="M38" s="163"/>
    </row>
    <row r="39" spans="1:13" ht="20.25">
      <c r="A39" s="1" t="s">
        <v>858</v>
      </c>
      <c r="C39" s="47">
        <f>-WACC!B9</f>
        <v>-37379</v>
      </c>
      <c r="D39" s="6"/>
      <c r="E39" s="6"/>
      <c r="F39" s="6"/>
      <c r="G39" s="6"/>
      <c r="H39" s="6"/>
      <c r="I39" s="6"/>
      <c r="J39" s="6"/>
      <c r="K39" s="6"/>
      <c r="L39" s="6"/>
      <c r="M39" s="163" t="s">
        <v>859</v>
      </c>
    </row>
    <row r="40" spans="1:13" ht="20.25">
      <c r="A40" s="1" t="s">
        <v>860</v>
      </c>
      <c r="C40" s="47">
        <f>WACC!B10</f>
        <v>9173</v>
      </c>
      <c r="D40" s="6"/>
      <c r="E40" s="6"/>
      <c r="F40" s="6"/>
      <c r="G40" s="6"/>
      <c r="H40" s="6"/>
      <c r="I40" s="6"/>
      <c r="J40" s="6"/>
      <c r="K40" s="6"/>
      <c r="L40" s="6"/>
      <c r="M40" s="163" t="s">
        <v>859</v>
      </c>
    </row>
    <row r="41" spans="1:13" ht="30.75">
      <c r="A41" s="1" t="s">
        <v>861</v>
      </c>
      <c r="C41" s="47">
        <f>-(Historical!I138+Historical!I131)</f>
        <v>-1742</v>
      </c>
      <c r="D41" s="6"/>
      <c r="E41" s="6"/>
      <c r="F41" s="6"/>
      <c r="G41" s="6"/>
      <c r="H41" s="6"/>
      <c r="I41" s="6"/>
      <c r="J41" s="6"/>
      <c r="K41" s="6"/>
      <c r="L41" s="6"/>
      <c r="M41" s="163" t="s">
        <v>862</v>
      </c>
    </row>
    <row r="42" spans="1:13" ht="71.25">
      <c r="A42" s="1" t="s">
        <v>863</v>
      </c>
      <c r="C42" s="6">
        <f>-Assumptions!C91</f>
        <v>0</v>
      </c>
      <c r="D42" s="6"/>
      <c r="E42" s="6"/>
      <c r="F42" s="6"/>
      <c r="G42" s="6"/>
      <c r="H42" s="6"/>
      <c r="I42" s="6"/>
      <c r="J42" s="6"/>
      <c r="K42" s="6"/>
      <c r="L42" s="6"/>
      <c r="M42" s="163" t="s">
        <v>864</v>
      </c>
    </row>
    <row r="43" spans="1:13" ht="122.25">
      <c r="A43" s="1" t="s">
        <v>865</v>
      </c>
      <c r="C43" s="47">
        <f>Historical!F219</f>
        <v>100</v>
      </c>
      <c r="D43" s="6"/>
      <c r="E43" s="6"/>
      <c r="F43" s="6"/>
      <c r="G43" s="6"/>
      <c r="H43" s="6"/>
      <c r="I43" s="6"/>
      <c r="J43" s="6"/>
      <c r="K43" s="6"/>
      <c r="L43" s="6"/>
      <c r="M43" s="163" t="s">
        <v>866</v>
      </c>
    </row>
    <row r="44" spans="1:13">
      <c r="A44" s="1" t="s">
        <v>867</v>
      </c>
      <c r="C44" s="12">
        <f>SUM(C39:C43)</f>
        <v>-29848</v>
      </c>
      <c r="D44" s="12"/>
      <c r="E44" s="12"/>
      <c r="F44" s="12"/>
      <c r="G44" s="12"/>
      <c r="H44" s="12"/>
      <c r="I44" s="12"/>
      <c r="J44" s="12"/>
      <c r="K44" s="12"/>
      <c r="L44" s="12"/>
      <c r="M44" s="163"/>
    </row>
    <row r="45" spans="1:13">
      <c r="A45" s="7" t="s">
        <v>868</v>
      </c>
      <c r="B45" s="7"/>
      <c r="C45" s="14">
        <f>C37+C44</f>
        <v>206614.49111472099</v>
      </c>
      <c r="D45" s="14"/>
      <c r="E45" s="14"/>
      <c r="F45" s="14"/>
      <c r="G45" s="14"/>
      <c r="H45" s="14"/>
      <c r="I45" s="14"/>
      <c r="J45" s="14"/>
      <c r="K45" s="14"/>
      <c r="L45" s="14"/>
      <c r="M45" s="163"/>
    </row>
    <row r="46" spans="1:13" ht="41.25">
      <c r="A46" s="1" t="s">
        <v>296</v>
      </c>
      <c r="C46" s="57">
        <f>WACC!B7</f>
        <v>1368.1</v>
      </c>
      <c r="D46" s="19"/>
      <c r="E46" s="19"/>
      <c r="F46" s="19"/>
      <c r="G46" s="19"/>
      <c r="H46" s="19"/>
      <c r="I46" s="19"/>
      <c r="J46" s="19"/>
      <c r="K46" s="19"/>
      <c r="L46" s="19"/>
      <c r="M46" s="163" t="s">
        <v>869</v>
      </c>
    </row>
    <row r="47" spans="1:13">
      <c r="A47" s="7" t="s">
        <v>870</v>
      </c>
      <c r="B47" s="7"/>
      <c r="C47" s="66">
        <f>C45/C46</f>
        <v>151.02294504401797</v>
      </c>
      <c r="D47" s="66"/>
      <c r="E47" s="66"/>
      <c r="F47" s="66"/>
      <c r="G47" s="66"/>
      <c r="H47" s="66"/>
      <c r="I47" s="66"/>
      <c r="J47" s="66"/>
      <c r="K47" s="66"/>
      <c r="L47" s="66"/>
      <c r="M47" s="163"/>
    </row>
    <row r="48" spans="1:13">
      <c r="A48" s="1" t="s">
        <v>756</v>
      </c>
      <c r="C48" s="56">
        <f>WACC!B6</f>
        <v>191.6</v>
      </c>
      <c r="D48" s="17"/>
      <c r="E48" s="17"/>
      <c r="F48" s="17"/>
      <c r="G48" s="17"/>
      <c r="H48" s="17"/>
      <c r="I48" s="17"/>
      <c r="J48" s="17"/>
      <c r="K48" s="17"/>
      <c r="L48" s="17"/>
      <c r="M48" s="163" t="s">
        <v>98</v>
      </c>
    </row>
    <row r="49" spans="1:13">
      <c r="A49" s="7" t="s">
        <v>871</v>
      </c>
      <c r="B49" s="7"/>
      <c r="C49" s="65">
        <f>C47/C48-1</f>
        <v>-0.21178003630470787</v>
      </c>
      <c r="D49" s="65"/>
      <c r="E49" s="65"/>
      <c r="F49" s="65"/>
      <c r="G49" s="65"/>
      <c r="H49" s="65"/>
      <c r="I49" s="65"/>
      <c r="J49" s="65"/>
      <c r="K49" s="65"/>
      <c r="L49" s="65"/>
      <c r="M49" s="163"/>
    </row>
    <row r="50" spans="1:13">
      <c r="A50" s="1" t="s">
        <v>872</v>
      </c>
      <c r="C50" s="64">
        <f>C37/Projections!C62</f>
        <v>14.887917894167087</v>
      </c>
      <c r="D50" s="28"/>
      <c r="E50" s="28"/>
      <c r="F50" s="28"/>
      <c r="G50" s="28"/>
      <c r="H50" s="28"/>
      <c r="I50" s="28"/>
      <c r="J50" s="28"/>
      <c r="K50" s="28"/>
      <c r="L50" s="28"/>
      <c r="M50" s="163"/>
    </row>
    <row r="51" spans="1:13">
      <c r="A51" s="1" t="s">
        <v>873</v>
      </c>
      <c r="C51" s="64">
        <f>C37/Projections!D62</f>
        <v>13.574963980869867</v>
      </c>
      <c r="D51" s="28"/>
      <c r="E51" s="28"/>
      <c r="F51" s="28"/>
      <c r="G51" s="28"/>
      <c r="H51" s="28"/>
      <c r="I51" s="28"/>
      <c r="J51" s="28"/>
      <c r="K51" s="28"/>
      <c r="L51" s="28"/>
      <c r="M51" s="163"/>
    </row>
    <row r="52" spans="1:13">
      <c r="A52" s="1" t="s">
        <v>874</v>
      </c>
      <c r="C52" s="64">
        <f>C47/Projections!D56</f>
        <v>20.641791146776349</v>
      </c>
      <c r="D52" s="28"/>
      <c r="E52" s="28"/>
      <c r="F52" s="28"/>
      <c r="G52" s="28"/>
      <c r="H52" s="28"/>
      <c r="I52" s="28"/>
      <c r="J52" s="28"/>
      <c r="K52" s="28"/>
      <c r="L52" s="28"/>
      <c r="M52" s="163"/>
    </row>
  </sheetData>
  <printOptions horizontalCentered="1" gridLinesSet="0"/>
  <pageMargins left="0.5" right="0.5" top="0.5" bottom="0.5" header="0.25" footer="0.25"/>
  <pageSetup firstPageNumber="0" orientation="landscape" horizontalDpi="0" verticalDpi="0" copies="0"/>
  <headerFooter>
    <oddFooter>&amp;C&amp;"Arial"&amp;8Point Alpha Capital | PA-RTX-Model | DCF |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31A0-3B11-4614-968F-277CFE44CFEA}">
  <sheetPr>
    <tabColor rgb="FF1C2B4A"/>
    <pageSetUpPr fitToPage="1"/>
  </sheetPr>
  <dimension ref="A1:Z435"/>
  <sheetViews>
    <sheetView showGridLines="0" workbookViewId="0">
      <pane ySplit="2" topLeftCell="A3" activePane="bottomLeft" state="frozen"/>
      <selection pane="bottomLeft"/>
    </sheetView>
  </sheetViews>
  <sheetFormatPr defaultRowHeight="15" outlineLevelRow="1"/>
  <cols>
    <col min="1" max="26" width="9.140625" style="1"/>
  </cols>
  <sheetData>
    <row r="1" spans="1:7">
      <c r="A1" s="1" t="s">
        <v>875</v>
      </c>
    </row>
    <row r="2" spans="1:7">
      <c r="A2" s="1" t="s">
        <v>876</v>
      </c>
    </row>
    <row r="4" spans="1:7">
      <c r="A4" s="1" t="s">
        <v>877</v>
      </c>
    </row>
    <row r="5" spans="1:7">
      <c r="C5" s="1" t="s">
        <v>91</v>
      </c>
    </row>
    <row r="6" spans="1:7">
      <c r="B6" s="1" t="s">
        <v>70</v>
      </c>
      <c r="C6" s="68">
        <f>D6-Assumptions!$C$81</f>
        <v>1.9999999999999997E-2</v>
      </c>
      <c r="D6" s="68">
        <f>E6-Assumptions!$C$81</f>
        <v>2.4999999999999998E-2</v>
      </c>
      <c r="E6" s="68">
        <f>DCF!C22</f>
        <v>0.03</v>
      </c>
      <c r="F6" s="68">
        <f>E6+Assumptions!$C$81</f>
        <v>3.4999999999999996E-2</v>
      </c>
      <c r="G6" s="68">
        <f>F6+Assumptions!$C$81</f>
        <v>3.9999999999999994E-2</v>
      </c>
    </row>
    <row r="7" spans="1:7">
      <c r="B7" s="69">
        <f>B8-Assumptions!$C$80</f>
        <v>7.0382965567772501E-2</v>
      </c>
      <c r="C7" s="26" cm="1">
        <f t="array" ref="C7">(SUMPRODUCT(DCF!$C$15:$K$15,(1+$B7)^(-DCF!$C$16:$K$16))+DCF!$C$25*(1-C$6/DCF!$C$24)*(1+(1+C$6)/($B7-C$6))*(1+$B7)^(-DCF!$L$16)+DCF!$C$44)/DCF!$C$46</f>
        <v>169.90190137221822</v>
      </c>
      <c r="D7" s="26" cm="1">
        <f t="array" ref="D7">(SUMPRODUCT(DCF!$C$15:$K$15,(1+$B7)^(-DCF!$C$16:$K$16))+DCF!$C$25*(1-D$6/DCF!$C$24)*(1+(1+D$6)/($B7-D$6))*(1+$B7)^(-DCF!$L$16)+DCF!$C$44)/DCF!$C$46</f>
        <v>180.31101834692097</v>
      </c>
      <c r="E7" s="26" cm="1">
        <f t="array" ref="E7">(SUMPRODUCT(DCF!$C$15:$K$15,(1+$B7)^(-DCF!$C$16:$K$16))+DCF!$C$25*(1-E$6/DCF!$C$24)*(1+(1+E$6)/($B7-E$6))*(1+$B7)^(-DCF!$L$16)+DCF!$C$44)/DCF!$C$46</f>
        <v>193.2977362551743</v>
      </c>
      <c r="F7" s="26" cm="1">
        <f t="array" ref="F7">(SUMPRODUCT(DCF!$C$15:$K$15,(1+$B7)^(-DCF!$C$16:$K$16))+DCF!$C$25*(1-F$6/DCF!$C$24)*(1+(1+F$6)/($B7-F$6))*(1+$B7)^(-DCF!$L$16)+DCF!$C$44)/DCF!$C$46</f>
        <v>209.95478470239226</v>
      </c>
      <c r="G7" s="26" cm="1">
        <f t="array" ref="G7">(SUMPRODUCT(DCF!$C$15:$K$15,(1+$B7)^(-DCF!$C$16:$K$16))+DCF!$C$25*(1-G$6/DCF!$C$24)*(1+(1+G$6)/($B7-G$6))*(1+$B7)^(-DCF!$L$16)+DCF!$C$44)/DCF!$C$46</f>
        <v>232.09419740732648</v>
      </c>
    </row>
    <row r="8" spans="1:7">
      <c r="B8" s="69">
        <f>B9-Assumptions!$C$80</f>
        <v>7.5382965567772506E-2</v>
      </c>
      <c r="C8" s="26" cm="1">
        <f t="array" ref="C8">(SUMPRODUCT(DCF!$C$15:$K$15,(1+$B8)^(-DCF!$C$16:$K$16))+DCF!$C$25*(1-C$6/DCF!$C$24)*(1+(1+C$6)/($B8-C$6))*(1+$B8)^(-DCF!$L$16)+DCF!$C$44)/DCF!$C$46</f>
        <v>152.31852059204456</v>
      </c>
      <c r="D8" s="26" cm="1">
        <f t="array" ref="D8">(SUMPRODUCT(DCF!$C$15:$K$15,(1+$B8)^(-DCF!$C$16:$K$16))+DCF!$C$25*(1-D$6/DCF!$C$24)*(1+(1+D$6)/($B8-D$6))*(1+$B8)^(-DCF!$L$16)+DCF!$C$44)/DCF!$C$46</f>
        <v>160.20864499683603</v>
      </c>
      <c r="E8" s="26" cm="1">
        <f t="array" ref="E8">(SUMPRODUCT(DCF!$C$15:$K$15,(1+$B8)^(-DCF!$C$16:$K$16))+DCF!$C$25*(1-E$6/DCF!$C$24)*(1+(1+E$6)/($B8-E$6))*(1+$B8)^(-DCF!$L$16)+DCF!$C$44)/DCF!$C$46</f>
        <v>169.83733458926579</v>
      </c>
      <c r="F8" s="26" cm="1">
        <f t="array" ref="F8">(SUMPRODUCT(DCF!$C$15:$K$15,(1+$B8)^(-DCF!$C$16:$K$16))+DCF!$C$25*(1-F$6/DCF!$C$24)*(1+(1+F$6)/($B8-F$6))*(1+$B8)^(-DCF!$L$16)+DCF!$C$44)/DCF!$C$46</f>
        <v>181.85036853507654</v>
      </c>
      <c r="G8" s="26" cm="1">
        <f t="array" ref="G8">(SUMPRODUCT(DCF!$C$15:$K$15,(1+$B8)^(-DCF!$C$16:$K$16))+DCF!$C$25*(1-G$6/DCF!$C$24)*(1+(1+G$6)/($B8-G$6))*(1+$B8)^(-DCF!$L$16)+DCF!$C$44)/DCF!$C$46</f>
        <v>197.25854863470556</v>
      </c>
    </row>
    <row r="9" spans="1:7">
      <c r="B9" s="69">
        <f>DCF!C21</f>
        <v>8.038296556777251E-2</v>
      </c>
      <c r="C9" s="26" cm="1">
        <f t="array" ref="C9">(SUMPRODUCT(DCF!$C$15:$K$15,(1+$B9)^(-DCF!$C$16:$K$16))+DCF!$C$25*(1-C$6/DCF!$C$24)*(1+(1+C$6)/($B9-C$6))*(1+$B9)^(-DCF!$L$16)+DCF!$C$44)/DCF!$C$46</f>
        <v>137.65419527223884</v>
      </c>
      <c r="D9" s="26" cm="1">
        <f t="array" ref="D9">(SUMPRODUCT(DCF!$C$15:$K$15,(1+$B9)^(-DCF!$C$16:$K$16))+DCF!$C$25*(1-D$6/DCF!$C$24)*(1+(1+D$6)/($B9-D$6))*(1+$B9)^(-DCF!$L$16)+DCF!$C$44)/DCF!$C$46</f>
        <v>143.73510167126037</v>
      </c>
      <c r="E9" s="67" cm="1">
        <f t="array" ref="E9">(SUMPRODUCT(DCF!$C$15:$K$15,(1+$B9)^(-DCF!$C$16:$K$16))+DCF!$C$25*(1-E$6/DCF!$C$24)*(1+(1+E$6)/($B9-E$6))*(1+$B9)^(-DCF!$L$16)+DCF!$C$44)/DCF!$C$46</f>
        <v>151.02294504401797</v>
      </c>
      <c r="F9" s="26" cm="1">
        <f t="array" ref="F9">(SUMPRODUCT(DCF!$C$15:$K$15,(1+$B9)^(-DCF!$C$16:$K$16))+DCF!$C$25*(1-F$6/DCF!$C$24)*(1+(1+F$6)/($B9-F$6))*(1+$B9)^(-DCF!$L$16)+DCF!$C$44)/DCF!$C$46</f>
        <v>159.91664279001486</v>
      </c>
      <c r="G9" s="26" cm="1">
        <f t="array" ref="G9">(SUMPRODUCT(DCF!$C$15:$K$15,(1+$B9)^(-DCF!$C$16:$K$16))+DCF!$C$25*(1-G$6/DCF!$C$24)*(1+(1+G$6)/($B9-G$6))*(1+$B9)^(-DCF!$L$16)+DCF!$C$44)/DCF!$C$46</f>
        <v>171.01267947297541</v>
      </c>
    </row>
    <row r="10" spans="1:7">
      <c r="B10" s="69">
        <f>B9+Assumptions!$C$80</f>
        <v>8.5382965567772515E-2</v>
      </c>
      <c r="C10" s="26" cm="1">
        <f t="array" ref="C10">(SUMPRODUCT(DCF!$C$15:$K$15,(1+$B10)^(-DCF!$C$16:$K$16))+DCF!$C$25*(1-C$6/DCF!$C$24)*(1+(1+C$6)/($B10-C$6))*(1+$B10)^(-DCF!$L$16)+DCF!$C$44)/DCF!$C$46</f>
        <v>125.23900689618927</v>
      </c>
      <c r="D10" s="26" cm="1">
        <f t="array" ref="D10">(SUMPRODUCT(DCF!$C$15:$K$15,(1+$B10)^(-DCF!$C$16:$K$16))+DCF!$C$25*(1-D$6/DCF!$C$24)*(1+(1+D$6)/($B10-D$6))*(1+$B10)^(-DCF!$L$16)+DCF!$C$44)/DCF!$C$46</f>
        <v>129.98901636350681</v>
      </c>
      <c r="E10" s="26" cm="1">
        <f t="array" ref="E10">(SUMPRODUCT(DCF!$C$15:$K$15,(1+$B10)^(-DCF!$C$16:$K$16))+DCF!$C$25*(1-E$6/DCF!$C$24)*(1+(1+E$6)/($B10-E$6))*(1+$B10)^(-DCF!$L$16)+DCF!$C$44)/DCF!$C$46</f>
        <v>135.59669197755767</v>
      </c>
      <c r="F10" s="26" cm="1">
        <f t="array" ref="F10">(SUMPRODUCT(DCF!$C$15:$K$15,(1+$B10)^(-DCF!$C$16:$K$16))+DCF!$C$25*(1-F$6/DCF!$C$24)*(1+(1+F$6)/($B10-F$6))*(1+$B10)^(-DCF!$L$16)+DCF!$C$44)/DCF!$C$46</f>
        <v>142.31737782251838</v>
      </c>
      <c r="G10" s="26" cm="1">
        <f t="array" ref="G10">(SUMPRODUCT(DCF!$C$15:$K$15,(1+$B10)^(-DCF!$C$16:$K$16))+DCF!$C$25*(1-G$6/DCF!$C$24)*(1+(1+G$6)/($B10-G$6))*(1+$B10)^(-DCF!$L$16)+DCF!$C$44)/DCF!$C$46</f>
        <v>150.51894658486452</v>
      </c>
    </row>
    <row r="11" spans="1:7">
      <c r="B11" s="69">
        <f>B10+Assumptions!$C$80</f>
        <v>9.0382965567772519E-2</v>
      </c>
      <c r="C11" s="26" cm="1">
        <f t="array" ref="C11">(SUMPRODUCT(DCF!$C$15:$K$15,(1+$B11)^(-DCF!$C$16:$K$16))+DCF!$C$25*(1-C$6/DCF!$C$24)*(1+(1+C$6)/($B11-C$6))*(1+$B11)^(-DCF!$L$16)+DCF!$C$44)/DCF!$C$46</f>
        <v>114.59341107621752</v>
      </c>
      <c r="D11" s="26" cm="1">
        <f t="array" ref="D11">(SUMPRODUCT(DCF!$C$15:$K$15,(1+$B11)^(-DCF!$C$16:$K$16))+DCF!$C$25*(1-D$6/DCF!$C$24)*(1+(1+D$6)/($B11-D$6))*(1+$B11)^(-DCF!$L$16)+DCF!$C$44)/DCF!$C$46</f>
        <v>118.34473392608362</v>
      </c>
      <c r="E11" s="26" cm="1">
        <f t="array" ref="E11">(SUMPRODUCT(DCF!$C$15:$K$15,(1+$B11)^(-DCF!$C$16:$K$16))+DCF!$C$25*(1-E$6/DCF!$C$24)*(1+(1+E$6)/($B11-E$6))*(1+$B11)^(-DCF!$L$16)+DCF!$C$44)/DCF!$C$46</f>
        <v>122.71731192872218</v>
      </c>
      <c r="F11" s="26" cm="1">
        <f t="array" ref="F11">(SUMPRODUCT(DCF!$C$15:$K$15,(1+$B11)^(-DCF!$C$16:$K$16))+DCF!$C$25*(1-F$6/DCF!$C$24)*(1+(1+F$6)/($B11-F$6))*(1+$B11)^(-DCF!$L$16)+DCF!$C$44)/DCF!$C$46</f>
        <v>127.87940670024666</v>
      </c>
      <c r="G11" s="26" cm="1">
        <f t="array" ref="G11">(SUMPRODUCT(DCF!$C$15:$K$15,(1+$B11)^(-DCF!$C$16:$K$16))+DCF!$C$25*(1-G$6/DCF!$C$24)*(1+(1+G$6)/($B11-G$6))*(1+$B11)^(-DCF!$L$16)+DCF!$C$44)/DCF!$C$46</f>
        <v>134.06607291439104</v>
      </c>
    </row>
    <row r="12" spans="1:7">
      <c r="A12" s="1" t="s">
        <v>878</v>
      </c>
      <c r="C12" s="1" t="b">
        <f>ROUND(E9-DCF!C47,6)=0</f>
        <v>1</v>
      </c>
    </row>
    <row r="14" spans="1:7">
      <c r="A14" s="1" t="s">
        <v>879</v>
      </c>
    </row>
    <row r="15" spans="1:7">
      <c r="C15" s="1" t="s">
        <v>880</v>
      </c>
    </row>
    <row r="16" spans="1:7">
      <c r="B16" s="1" t="s">
        <v>881</v>
      </c>
      <c r="C16" s="68">
        <f>D16-Assumptions!$C$83</f>
        <v>0.12</v>
      </c>
      <c r="D16" s="68">
        <f>E16-Assumptions!$C$83</f>
        <v>0.125</v>
      </c>
      <c r="E16" s="68">
        <f>Assumptions!$C$38</f>
        <v>0.13</v>
      </c>
      <c r="F16" s="68">
        <f>E16+Assumptions!$C$83</f>
        <v>0.13500000000000001</v>
      </c>
      <c r="G16" s="68">
        <f>F16+Assumptions!$C$83</f>
        <v>0.14000000000000001</v>
      </c>
    </row>
    <row r="17" spans="1:12">
      <c r="B17" s="68">
        <f>B18-Assumptions!$C$82</f>
        <v>0.16999999999999998</v>
      </c>
      <c r="C17" s="26">
        <f>B49</f>
        <v>140.55838530343448</v>
      </c>
      <c r="D17" s="26">
        <f>B65</f>
        <v>142.42364827160571</v>
      </c>
      <c r="E17" s="26">
        <f>B81</f>
        <v>144.28891123977698</v>
      </c>
      <c r="F17" s="26">
        <f>B97</f>
        <v>146.15417420794822</v>
      </c>
      <c r="G17" s="26">
        <f>B113</f>
        <v>148.01943717611948</v>
      </c>
    </row>
    <row r="18" spans="1:12">
      <c r="B18" s="68">
        <f>B19-Assumptions!$C$82</f>
        <v>0.18</v>
      </c>
      <c r="C18" s="26">
        <f>B129</f>
        <v>143.83465290372894</v>
      </c>
      <c r="D18" s="26">
        <f>B145</f>
        <v>145.69993896930487</v>
      </c>
      <c r="E18" s="26">
        <f>B161</f>
        <v>147.56522503488077</v>
      </c>
      <c r="F18" s="26">
        <f>B177</f>
        <v>149.4305111004567</v>
      </c>
      <c r="G18" s="26">
        <f>B193</f>
        <v>151.2957971660326</v>
      </c>
    </row>
    <row r="19" spans="1:12">
      <c r="B19" s="68">
        <f>Assumptions!$C$28</f>
        <v>0.19</v>
      </c>
      <c r="C19" s="26">
        <f>B209</f>
        <v>147.29232322453848</v>
      </c>
      <c r="D19" s="26">
        <f>B225</f>
        <v>149.1576341342782</v>
      </c>
      <c r="E19" s="67">
        <f>B241</f>
        <v>151.02294504401794</v>
      </c>
      <c r="F19" s="26">
        <f>B257</f>
        <v>152.88825595375772</v>
      </c>
      <c r="G19" s="26">
        <f>B273</f>
        <v>154.75356686349747</v>
      </c>
    </row>
    <row r="20" spans="1:12">
      <c r="B20" s="68">
        <f>B19+Assumptions!$C$82</f>
        <v>0.2</v>
      </c>
      <c r="C20" s="26">
        <f>B289</f>
        <v>150.94016642053248</v>
      </c>
      <c r="D20" s="26">
        <f>B305</f>
        <v>152.80550392140049</v>
      </c>
      <c r="E20" s="26">
        <f>B321</f>
        <v>154.67084142226855</v>
      </c>
      <c r="F20" s="26">
        <f>B337</f>
        <v>156.53617892313656</v>
      </c>
      <c r="G20" s="26">
        <f>B353</f>
        <v>158.4015164240046</v>
      </c>
    </row>
    <row r="21" spans="1:12">
      <c r="B21" s="68">
        <f>B20+Assumptions!$C$82</f>
        <v>0.21000000000000002</v>
      </c>
      <c r="C21" s="26">
        <f>B369</f>
        <v>154.78730982956614</v>
      </c>
      <c r="D21" s="26">
        <f>B385</f>
        <v>156.6526756609195</v>
      </c>
      <c r="E21" s="26">
        <f>B401</f>
        <v>158.5180414922728</v>
      </c>
      <c r="F21" s="26">
        <f>B417</f>
        <v>160.38340732362616</v>
      </c>
      <c r="G21" s="26">
        <f>B433</f>
        <v>162.24877315497949</v>
      </c>
    </row>
    <row r="22" spans="1:12">
      <c r="A22" s="1" t="s">
        <v>882</v>
      </c>
    </row>
    <row r="23" spans="1:12">
      <c r="A23" s="1" t="s">
        <v>878</v>
      </c>
      <c r="C23" s="1" t="b">
        <f>ROUND(E19-DCF!C47,6)=0</f>
        <v>1</v>
      </c>
    </row>
    <row r="30" spans="1:12" hidden="1" outlineLevel="1">
      <c r="A30" s="1" t="s">
        <v>883</v>
      </c>
    </row>
    <row r="31" spans="1:12" hidden="1" outlineLevel="1">
      <c r="A31" s="1" t="s">
        <v>586</v>
      </c>
      <c r="C31" s="1" t="s">
        <v>43</v>
      </c>
      <c r="D31" s="1" t="s">
        <v>45</v>
      </c>
      <c r="E31" s="1" t="s">
        <v>47</v>
      </c>
      <c r="F31" s="1" t="s">
        <v>48</v>
      </c>
      <c r="G31" s="1" t="s">
        <v>49</v>
      </c>
      <c r="H31" s="1" t="s">
        <v>50</v>
      </c>
      <c r="I31" s="1" t="s">
        <v>51</v>
      </c>
      <c r="J31" s="1" t="s">
        <v>52</v>
      </c>
      <c r="K31" s="1" t="s">
        <v>53</v>
      </c>
      <c r="L31" s="1" t="s">
        <v>54</v>
      </c>
    </row>
    <row r="32" spans="1:12" hidden="1" outlineLevel="1">
      <c r="A32" s="1" t="s">
        <v>884</v>
      </c>
      <c r="C32" s="1">
        <f>MIN(1,(Assumptions!$L$5-Assumptions!C5)/(Assumptions!$L$5-Assumptions!$G$5))</f>
        <v>1</v>
      </c>
      <c r="D32" s="1">
        <f>MIN(1,(Assumptions!$L$5-Assumptions!D5)/(Assumptions!$L$5-Assumptions!$G$5))</f>
        <v>1</v>
      </c>
      <c r="E32" s="1">
        <f>MIN(1,(Assumptions!$L$5-Assumptions!E5)/(Assumptions!$L$5-Assumptions!$G$5))</f>
        <v>1</v>
      </c>
      <c r="F32" s="1">
        <f>MIN(1,(Assumptions!$L$5-Assumptions!F5)/(Assumptions!$L$5-Assumptions!$G$5))</f>
        <v>1</v>
      </c>
      <c r="G32" s="1">
        <f>MIN(1,(Assumptions!$L$5-Assumptions!G5)/(Assumptions!$L$5-Assumptions!$G$5))</f>
        <v>1</v>
      </c>
      <c r="H32" s="1">
        <f>MIN(1,(Assumptions!$L$5-Assumptions!H5)/(Assumptions!$L$5-Assumptions!$G$5))</f>
        <v>0.8</v>
      </c>
      <c r="I32" s="1">
        <f>MIN(1,(Assumptions!$L$5-Assumptions!I5)/(Assumptions!$L$5-Assumptions!$G$5))</f>
        <v>0.6</v>
      </c>
      <c r="J32" s="1">
        <f>MIN(1,(Assumptions!$L$5-Assumptions!J5)/(Assumptions!$L$5-Assumptions!$G$5))</f>
        <v>0.4</v>
      </c>
      <c r="K32" s="1">
        <f>MIN(1,(Assumptions!$L$5-Assumptions!K5)/(Assumptions!$L$5-Assumptions!$G$5))</f>
        <v>0.2</v>
      </c>
      <c r="L32" s="1">
        <f>MIN(1,(Assumptions!$L$5-Assumptions!L5)/(Assumptions!$L$5-Assumptions!$G$5))</f>
        <v>0</v>
      </c>
    </row>
    <row r="33" spans="1:12" hidden="1" outlineLevel="1">
      <c r="A33" s="1" t="s">
        <v>885</v>
      </c>
      <c r="C33" s="1">
        <f>MAX(0,(Assumptions!C5-Assumptions!$G$5)/(Assumptions!$L$5-Assumptions!$G$5))</f>
        <v>0</v>
      </c>
      <c r="D33" s="1">
        <f>MAX(0,(Assumptions!D5-Assumptions!$G$5)/(Assumptions!$L$5-Assumptions!$G$5))</f>
        <v>0</v>
      </c>
      <c r="E33" s="1">
        <f>MAX(0,(Assumptions!E5-Assumptions!$G$5)/(Assumptions!$L$5-Assumptions!$G$5))</f>
        <v>0</v>
      </c>
      <c r="F33" s="1">
        <f>MAX(0,(Assumptions!F5-Assumptions!$G$5)/(Assumptions!$L$5-Assumptions!$G$5))</f>
        <v>0</v>
      </c>
      <c r="G33" s="1">
        <f>MAX(0,(Assumptions!G5-Assumptions!$G$5)/(Assumptions!$L$5-Assumptions!$G$5))</f>
        <v>0</v>
      </c>
      <c r="H33" s="1">
        <f>MAX(0,(Assumptions!H5-Assumptions!$G$5)/(Assumptions!$L$5-Assumptions!$G$5))</f>
        <v>0.2</v>
      </c>
      <c r="I33" s="1">
        <f>MAX(0,(Assumptions!I5-Assumptions!$G$5)/(Assumptions!$L$5-Assumptions!$G$5))</f>
        <v>0.4</v>
      </c>
      <c r="J33" s="1">
        <f>MAX(0,(Assumptions!J5-Assumptions!$G$5)/(Assumptions!$L$5-Assumptions!$G$5))</f>
        <v>0.6</v>
      </c>
      <c r="K33" s="1">
        <f>MAX(0,(Assumptions!K5-Assumptions!$G$5)/(Assumptions!$L$5-Assumptions!$G$5))</f>
        <v>0.8</v>
      </c>
      <c r="L33" s="1">
        <f>MAX(0,(Assumptions!L5-Assumptions!$G$5)/(Assumptions!$L$5-Assumptions!$G$5))</f>
        <v>1</v>
      </c>
    </row>
    <row r="34" spans="1:12" hidden="1" outlineLevel="1"/>
    <row r="35" spans="1:12" hidden="1" outlineLevel="1">
      <c r="A35" s="1" t="s">
        <v>886</v>
      </c>
      <c r="B35" s="35">
        <f>$B$17-Assumptions!$C$28</f>
        <v>-2.0000000000000018E-2</v>
      </c>
      <c r="C35" s="35">
        <f>$C$16-Assumptions!$C$38</f>
        <v>-1.0000000000000009E-2</v>
      </c>
    </row>
    <row r="36" spans="1:12" hidden="1" outlineLevel="1">
      <c r="A36" s="1" t="s">
        <v>887</v>
      </c>
      <c r="C36" s="1">
        <f>Projections!B9*(1+Assumptions!C21+$B$35*C$32)</f>
        <v>14301.782857142862</v>
      </c>
      <c r="D36" s="1">
        <f>C36*(1+Assumptions!D21+$B$35*D$32)</f>
        <v>15159.889828571435</v>
      </c>
      <c r="E36" s="1">
        <f>D36*(1+Assumptions!E21+$B$35*E$32)</f>
        <v>15917.884320000006</v>
      </c>
      <c r="F36" s="1">
        <f>E36*(1+Assumptions!F21+$B$35*F$32)</f>
        <v>16554.599692800006</v>
      </c>
      <c r="G36" s="1">
        <f>F36*(1+Assumptions!G21+$B$35*G$32)</f>
        <v>17051.237683584008</v>
      </c>
      <c r="H36" s="1">
        <f>G36*(1+Assumptions!H21+$B$35*H$32)</f>
        <v>17562.774814091528</v>
      </c>
      <c r="I36" s="1">
        <f>H36*(1+Assumptions!I21+$B$35*I$32)</f>
        <v>18089.658058514273</v>
      </c>
      <c r="J36" s="1">
        <f>I36*(1+Assumptions!J21+$B$35*J$32)</f>
        <v>18632.347800269701</v>
      </c>
      <c r="K36" s="1">
        <f>J36*(1+Assumptions!K21+$B$35*K$32)</f>
        <v>19191.318234277791</v>
      </c>
      <c r="L36" s="1">
        <f>K36*(1+Assumptions!L21+$B$35*L$32)</f>
        <v>19767.057781306125</v>
      </c>
    </row>
    <row r="37" spans="1:12" hidden="1" outlineLevel="1">
      <c r="A37" s="1" t="s">
        <v>888</v>
      </c>
      <c r="C37" s="1">
        <f>Projections!B14*(1+Assumptions!C28+$B$35*C$32)</f>
        <v>19271.160000000003</v>
      </c>
      <c r="D37" s="1">
        <f>C37*(1+Assumptions!D28+$B$35*D$32)</f>
        <v>21198.276000000005</v>
      </c>
      <c r="E37" s="1">
        <f>D37*(1+Assumptions!E28+$B$35*E$32)</f>
        <v>22682.155320000005</v>
      </c>
      <c r="F37" s="1">
        <f>E37*(1+Assumptions!F28+$B$35*F$32)</f>
        <v>23816.263086000006</v>
      </c>
      <c r="G37" s="1">
        <f>F37*(1+Assumptions!G28+$B$35*G$32)</f>
        <v>24768.913609440009</v>
      </c>
      <c r="H37" s="1">
        <f>G37*(1+Assumptions!H28+$B$35*H$32)</f>
        <v>25710.13232659873</v>
      </c>
      <c r="I37" s="1">
        <f>H37*(1+Assumptions!I28+$B$35*I$32)</f>
        <v>26635.697090356287</v>
      </c>
      <c r="J37" s="1">
        <f>I37*(1+Assumptions!J28+$B$35*J$32)</f>
        <v>27541.310791428401</v>
      </c>
      <c r="K37" s="1">
        <f>J37*(1+Assumptions!K28+$B$35*K$32)</f>
        <v>28422.632736754109</v>
      </c>
      <c r="L37" s="1">
        <f>K37*(1+Assumptions!L28+$B$35*L$32)</f>
        <v>29275.311718856734</v>
      </c>
    </row>
    <row r="38" spans="1:12" hidden="1" outlineLevel="1">
      <c r="A38" s="1" t="s">
        <v>889</v>
      </c>
      <c r="C38" s="1">
        <f>(C36-Projections!C9)+(C37-Projections!C14)</f>
        <v>-604.45582417582409</v>
      </c>
      <c r="D38" s="1">
        <f>(D36-Projections!D9)+(D37-Projections!D14)</f>
        <v>-1337.448008791207</v>
      </c>
      <c r="E38" s="1">
        <f>(E36-Projections!E9)+(E37-Projections!E14)</f>
        <v>-2173.3201924395635</v>
      </c>
      <c r="F38" s="1">
        <f>(F36-Projections!F9)+(F37-Projections!F14)</f>
        <v>-3088.1825430074787</v>
      </c>
      <c r="G38" s="1">
        <f>(G36-Projections!G9)+(G37-Projections!G14)</f>
        <v>-4067.8800672548969</v>
      </c>
      <c r="H38" s="1">
        <f>(H36-Projections!H9)+(H37-Projections!H14)</f>
        <v>-4943.0903011406153</v>
      </c>
      <c r="I38" s="1">
        <f>(I36-Projections!I9)+(I37-Projections!I14)</f>
        <v>-5687.344888630214</v>
      </c>
      <c r="J38" s="1">
        <f>(J36-Projections!J9)+(J37-Projections!J14)</f>
        <v>-6274.6366984693195</v>
      </c>
      <c r="K38" s="1">
        <f>(K36-Projections!K9)+(K37-Projections!K14)</f>
        <v>-6680.0608502980976</v>
      </c>
      <c r="L38" s="1">
        <f>(L36-Projections!L9)+(L37-Projections!L14)</f>
        <v>-6880.4626758070408</v>
      </c>
    </row>
    <row r="39" spans="1:12" hidden="1" outlineLevel="1">
      <c r="A39" s="1" t="s">
        <v>890</v>
      </c>
      <c r="C39" s="1">
        <f>C38*(1+Assumptions!C32)</f>
        <v>-587.86624097684194</v>
      </c>
      <c r="D39" s="1">
        <f>D38*(1+Assumptions!D32)</f>
        <v>-1300.7410996528797</v>
      </c>
      <c r="E39" s="1">
        <f>E38*(1+Assumptions!E32)</f>
        <v>-2113.6723659012646</v>
      </c>
      <c r="F39" s="1">
        <f>F38*(1+Assumptions!F32)</f>
        <v>-3003.4258756352665</v>
      </c>
      <c r="G39" s="1">
        <f>G38*(1+Assumptions!G32)</f>
        <v>-3956.2351262681486</v>
      </c>
      <c r="H39" s="1">
        <f>H38*(1+Assumptions!H32)</f>
        <v>-4807.4247908898606</v>
      </c>
      <c r="I39" s="1">
        <f>I38*(1+Assumptions!I32)</f>
        <v>-5531.2529503320202</v>
      </c>
      <c r="J39" s="1">
        <f>J38*(1+Assumptions!J32)</f>
        <v>-6102.4262516685549</v>
      </c>
      <c r="K39" s="1">
        <f>K38*(1+Assumptions!K32)</f>
        <v>-6496.72334105764</v>
      </c>
      <c r="L39" s="1">
        <f>L38*(1+Assumptions!L32)</f>
        <v>-6691.6250412893696</v>
      </c>
    </row>
    <row r="40" spans="1:12" hidden="1" outlineLevel="1">
      <c r="A40" s="1" t="s">
        <v>891</v>
      </c>
      <c r="C40" s="1">
        <f>(C36-Projections!C9)*Assumptions!C36+(C37-Projections!C14)*Assumptions!C37+C39*(Assumptions!C39+Assumptions!C40)+Projections!C17*$C$35</f>
        <v>-389.05969514402955</v>
      </c>
      <c r="D40" s="1">
        <f>(D36-Projections!D9)*Assumptions!D36+(D37-Projections!D14)*Assumptions!D37+D39*(Assumptions!D39+Assumptions!D40)+Projections!D17*$C$35</f>
        <v>-506.96306285601543</v>
      </c>
      <c r="E40" s="1">
        <f>(E36-Projections!E9)*Assumptions!E36+(E37-Projections!E14)*Assumptions!E37+E39*(Assumptions!E39+Assumptions!E40)+Projections!E17*$C$35</f>
        <v>-642.96396177862152</v>
      </c>
      <c r="F40" s="1">
        <f>(F36-Projections!F9)*Assumptions!F36+(F37-Projections!F14)*Assumptions!F37+F39*(Assumptions!F39+Assumptions!F40)+Projections!F17*$C$35</f>
        <v>-795.45218892455318</v>
      </c>
      <c r="G40" s="1">
        <f>(G36-Projections!G9)*Assumptions!G36+(G37-Projections!G14)*Assumptions!G37+G39*(Assumptions!G39+Assumptions!G40)+Projections!G17*$C$35</f>
        <v>-954.46086272444302</v>
      </c>
      <c r="H40" s="1">
        <f>(H36-Projections!H9)*Assumptions!H36+(H37-Projections!H14)*Assumptions!H37+H39*(Assumptions!H39+Assumptions!H40)+Projections!H17*$C$35</f>
        <v>-1089.689118139491</v>
      </c>
      <c r="I40" s="1">
        <f>(I36-Projections!I9)*Assumptions!I36+(I37-Projections!I14)*Assumptions!I37+I39*(Assumptions!I39+Assumptions!I40)+Projections!I17*$C$35</f>
        <v>-1206.5121995260693</v>
      </c>
      <c r="J40" s="1">
        <f>(J36-Projections!J9)*Assumptions!J36+(J37-Projections!J14)*Assumptions!J37+J39*(Assumptions!J39+Assumptions!J40)+Projections!J17*$C$35</f>
        <v>-1301.4189934362216</v>
      </c>
      <c r="K40" s="1">
        <f>(K36-Projections!K9)*Assumptions!K36+(K37-Projections!K14)*Assumptions!K37+K39*(Assumptions!K39+Assumptions!K40)+Projections!K17*$C$35</f>
        <v>-1371.0260062524817</v>
      </c>
      <c r="L40" s="1">
        <f>(L36-Projections!L9)*Assumptions!L36+(L37-Projections!L14)*Assumptions!L37+L39*(Assumptions!L39+Assumptions!L40)+Projections!L17*$C$35</f>
        <v>-1412.1567864400563</v>
      </c>
    </row>
    <row r="41" spans="1:12" hidden="1" outlineLevel="1">
      <c r="A41" s="1" t="s">
        <v>892</v>
      </c>
      <c r="C41" s="1">
        <f>C39*(1-Assumptions!C44-Assumptions!C45+Assumptions!C46)-C40</f>
        <v>-142.3713866990355</v>
      </c>
      <c r="D41" s="1">
        <f>D39*(1-Assumptions!D44-Assumptions!D45+Assumptions!D46)-D40</f>
        <v>-668.90689123018763</v>
      </c>
      <c r="E41" s="1">
        <f>E39*(1-Assumptions!E44-Assumptions!E45+Assumptions!E46)-E40</f>
        <v>-1267.7958569961215</v>
      </c>
      <c r="F41" s="1">
        <f>F39*(1-Assumptions!F44-Assumptions!F45+Assumptions!F46)-F40</f>
        <v>-1919.6448026497276</v>
      </c>
      <c r="G41" s="1">
        <f>G39*(1-Assumptions!G44-Assumptions!G45+Assumptions!G46)-G40</f>
        <v>-2621.9756914219633</v>
      </c>
      <c r="H41" s="1">
        <f>H39*(1-Assumptions!H44-Assumptions!H45+Assumptions!H46)-H40</f>
        <v>-3256.2228928249424</v>
      </c>
      <c r="I41" s="1">
        <f>I39*(1-Assumptions!I44-Assumptions!I45+Assumptions!I46)-I40</f>
        <v>-3793.7404675740768</v>
      </c>
      <c r="J41" s="1">
        <f>J39*(1-Assumptions!J44-Assumptions!J45+Assumptions!J46)-J40</f>
        <v>-4215.1743380721509</v>
      </c>
      <c r="K41" s="1">
        <f>K39*(1-Assumptions!K44-Assumptions!K45+Assumptions!K46)-K40</f>
        <v>-4502.0118940636239</v>
      </c>
      <c r="L41" s="1">
        <f>L39*(1-Assumptions!L44-Assumptions!L45+Assumptions!L46)-L40</f>
        <v>-4637.0722508855324</v>
      </c>
    </row>
    <row r="42" spans="1:12" hidden="1" outlineLevel="1">
      <c r="A42" s="1" t="s">
        <v>893</v>
      </c>
      <c r="C42" s="1">
        <f>C39*(Assumptions!C57/Assumptions!$C$9+Assumptions!C58+Assumptions!C62+Assumptions!C64+Assumptions!C65+Assumptions!C67-Assumptions!C63-Assumptions!C61-Assumptions!C66-Assumptions!C68)+C41*(Assumptions!C59-Assumptions!C60)/Assumptions!$C$9</f>
        <v>-4.7794992581757691</v>
      </c>
      <c r="D42" s="1">
        <f>D39*(Assumptions!D57/Assumptions!$C$9+Assumptions!D58+Assumptions!D62+Assumptions!D64+Assumptions!D65+Assumptions!D67-Assumptions!D63-Assumptions!D61-Assumptions!D66-Assumptions!D68)+D41*(Assumptions!D59-Assumptions!D60)/Assumptions!$C$9</f>
        <v>2.4072925630319553</v>
      </c>
      <c r="E42" s="1">
        <f>E39*(Assumptions!E57/Assumptions!$C$9+Assumptions!E58+Assumptions!E62+Assumptions!E64+Assumptions!E65+Assumptions!E67-Assumptions!E63-Assumptions!E61-Assumptions!E66-Assumptions!E68)+E41*(Assumptions!E59-Assumptions!E60)/Assumptions!$C$9</f>
        <v>10.545966873110572</v>
      </c>
      <c r="F42" s="1">
        <f>F39*(Assumptions!F57/Assumptions!$C$9+Assumptions!F58+Assumptions!F62+Assumptions!F64+Assumptions!F65+Assumptions!F67-Assumptions!F63-Assumptions!F61-Assumptions!F66-Assumptions!F68)+F41*(Assumptions!F59-Assumptions!F60)/Assumptions!$C$9</f>
        <v>19.320388602388604</v>
      </c>
      <c r="G42" s="1">
        <f>G39*(Assumptions!G57/Assumptions!$C$9+Assumptions!G58+Assumptions!G62+Assumptions!G64+Assumptions!G65+Assumptions!G67-Assumptions!G63-Assumptions!G61-Assumptions!G66-Assumptions!G68)+G41*(Assumptions!G59-Assumptions!G60)/Assumptions!$C$9</f>
        <v>28.873885021109842</v>
      </c>
      <c r="H42" s="1">
        <f>H39*(Assumptions!H57/Assumptions!$C$9+Assumptions!H58+Assumptions!H62+Assumptions!H64+Assumptions!H65+Assumptions!H67-Assumptions!H63-Assumptions!H61-Assumptions!H66-Assumptions!H68)+H41*(Assumptions!H59-Assumptions!H60)/Assumptions!$C$9</f>
        <v>37.658735576382426</v>
      </c>
      <c r="I42" s="1">
        <f>I39*(Assumptions!I57/Assumptions!$C$9+Assumptions!I58+Assumptions!I62+Assumptions!I64+Assumptions!I65+Assumptions!I67-Assumptions!I63-Assumptions!I61-Assumptions!I66-Assumptions!I68)+I41*(Assumptions!I59-Assumptions!I60)/Assumptions!$C$9</f>
        <v>45.062042214394822</v>
      </c>
      <c r="J42" s="1">
        <f>J39*(Assumptions!J57/Assumptions!$C$9+Assumptions!J58+Assumptions!J62+Assumptions!J64+Assumptions!J65+Assumptions!J67-Assumptions!J63-Assumptions!J61-Assumptions!J66-Assumptions!J68)+J41*(Assumptions!J59-Assumptions!J60)/Assumptions!$C$9</f>
        <v>50.804152297511692</v>
      </c>
      <c r="K42" s="1">
        <f>K39*(Assumptions!K57/Assumptions!$C$9+Assumptions!K58+Assumptions!K62+Assumptions!K64+Assumptions!K65+Assumptions!K67-Assumptions!K63-Assumptions!K61-Assumptions!K66-Assumptions!K68)+K41*(Assumptions!K59-Assumptions!K60)/Assumptions!$C$9</f>
        <v>54.618042989352361</v>
      </c>
      <c r="L42" s="1">
        <f>L39*(Assumptions!L57/Assumptions!$C$9+Assumptions!L58+Assumptions!L62+Assumptions!L64+Assumptions!L65+Assumptions!L67-Assumptions!L63-Assumptions!L61-Assumptions!L66-Assumptions!L68)+L41*(Assumptions!L59-Assumptions!L60)/Assumptions!$C$9</f>
        <v>56.256584279032907</v>
      </c>
    </row>
    <row r="43" spans="1:12" hidden="1" outlineLevel="1">
      <c r="A43" s="1" t="s">
        <v>894</v>
      </c>
      <c r="C43" s="1">
        <f>C42</f>
        <v>-4.7794992581757691</v>
      </c>
      <c r="D43" s="1">
        <f>D42-C42</f>
        <v>7.1867918212077244</v>
      </c>
      <c r="E43" s="1">
        <f>E42-D42</f>
        <v>8.138674310078617</v>
      </c>
      <c r="F43" s="1">
        <f>F42-E42</f>
        <v>8.774421729278032</v>
      </c>
      <c r="G43" s="1">
        <f>G42-F42</f>
        <v>9.5534964187212381</v>
      </c>
      <c r="H43" s="1">
        <f>H42-G42</f>
        <v>8.784850555272584</v>
      </c>
      <c r="I43" s="1">
        <f>I42-H42</f>
        <v>7.4033066380123955</v>
      </c>
      <c r="J43" s="1">
        <f>J42-I42</f>
        <v>5.7421100831168701</v>
      </c>
      <c r="K43" s="1">
        <f>K42-J42</f>
        <v>3.813890691840669</v>
      </c>
      <c r="L43" s="1">
        <f>L42-K42</f>
        <v>1.6385412896805462</v>
      </c>
    </row>
    <row r="44" spans="1:12" hidden="1" outlineLevel="1">
      <c r="A44" s="1" t="s">
        <v>895</v>
      </c>
      <c r="C44" s="1">
        <f>C40*(1-Assumptions!C49)</f>
        <v>-323.22441565510059</v>
      </c>
      <c r="D44" s="1">
        <f>D40*(1-Assumptions!D49)</f>
        <v>-410.33336509450839</v>
      </c>
      <c r="E44" s="1">
        <f>E40*(1-Assumptions!E49)</f>
        <v>-520.41181182868525</v>
      </c>
      <c r="F44" s="1">
        <f>F40*(1-Assumptions!F49)</f>
        <v>-643.83501948722221</v>
      </c>
      <c r="G44" s="1">
        <f>G40*(1-Assumptions!G49)</f>
        <v>-772.53584402452123</v>
      </c>
      <c r="H44" s="1">
        <f>H40*(1-Assumptions!H49)</f>
        <v>-881.98891697172314</v>
      </c>
      <c r="I44" s="1">
        <f>I40*(1-Assumptions!I49)</f>
        <v>-976.54493420108656</v>
      </c>
      <c r="J44" s="1">
        <f>J40*(1-Assumptions!J49)</f>
        <v>-1053.362018065329</v>
      </c>
      <c r="K44" s="1">
        <f>K40*(1-Assumptions!K49)</f>
        <v>-1109.7015857690706</v>
      </c>
      <c r="L44" s="1">
        <f>L40*(1-Assumptions!L49)</f>
        <v>-1142.9926333421427</v>
      </c>
    </row>
    <row r="45" spans="1:12" hidden="1" outlineLevel="1">
      <c r="A45" s="1" t="s">
        <v>896</v>
      </c>
      <c r="C45" s="1">
        <f>C39*Assumptions!C53</f>
        <v>-15.226945171629088</v>
      </c>
      <c r="D45" s="1">
        <f>D39*Assumptions!D53</f>
        <v>-33.691870745949444</v>
      </c>
      <c r="E45" s="1">
        <f>E39*Assumptions!E53</f>
        <v>-54.748463141692746</v>
      </c>
      <c r="F45" s="1">
        <f>F39*Assumptions!F53</f>
        <v>-77.794909704896412</v>
      </c>
      <c r="G45" s="1">
        <f>G39*Assumptions!G53</f>
        <v>-102.47462969408937</v>
      </c>
      <c r="H45" s="1">
        <f>H39*Assumptions!H53</f>
        <v>-124.52219332406611</v>
      </c>
      <c r="I45" s="1">
        <f>I39*Assumptions!I53</f>
        <v>-143.2708319245622</v>
      </c>
      <c r="J45" s="1">
        <f>J39*Assumptions!J53</f>
        <v>-158.06539561391074</v>
      </c>
      <c r="K45" s="1">
        <f>K39*Assumptions!K53</f>
        <v>-168.27850149235672</v>
      </c>
      <c r="L45" s="1">
        <f>L39*Assumptions!L53</f>
        <v>-173.32685653712744</v>
      </c>
    </row>
    <row r="46" spans="1:12" hidden="1" outlineLevel="1">
      <c r="A46" s="1" t="s">
        <v>897</v>
      </c>
      <c r="C46" s="1">
        <f>C39*Assumptions!C55</f>
        <v>-2.7774388235233296</v>
      </c>
      <c r="D46" s="1">
        <f>D39*Assumptions!D55</f>
        <v>-6.1454946341622874</v>
      </c>
      <c r="E46" s="1">
        <f>E39*Assumptions!E55</f>
        <v>-9.986277966068549</v>
      </c>
      <c r="F46" s="1">
        <f>F39*Assumptions!F55</f>
        <v>-14.190016451195662</v>
      </c>
      <c r="G46" s="1">
        <f>G39*Assumptions!G55</f>
        <v>-18.691668731351321</v>
      </c>
      <c r="H46" s="1">
        <f>H39*Assumptions!H55</f>
        <v>-22.713208081482634</v>
      </c>
      <c r="I46" s="1">
        <f>I39*Assumptions!I55</f>
        <v>-26.13301396836853</v>
      </c>
      <c r="J46" s="1">
        <f>J39*Assumptions!J55</f>
        <v>-28.831585159420435</v>
      </c>
      <c r="K46" s="1">
        <f>K39*Assumptions!K55</f>
        <v>-30.694485199830538</v>
      </c>
      <c r="L46" s="1">
        <f>L39*Assumptions!L55</f>
        <v>-31.615319755825453</v>
      </c>
    </row>
    <row r="47" spans="1:12" hidden="1" outlineLevel="1">
      <c r="A47" s="1" t="s">
        <v>898</v>
      </c>
      <c r="C47" s="1">
        <f>Assumptions!C54</f>
        <v>2.9000000000000001E-2</v>
      </c>
      <c r="D47" s="1">
        <f>Assumptions!D54</f>
        <v>0.03</v>
      </c>
      <c r="E47" s="1">
        <f>Assumptions!E54</f>
        <v>0.03</v>
      </c>
      <c r="F47" s="1">
        <f>Assumptions!F54</f>
        <v>2.9000000000000001E-2</v>
      </c>
      <c r="G47" s="1">
        <f>Assumptions!G54</f>
        <v>2.8000000000000001E-2</v>
      </c>
      <c r="H47" s="1">
        <f>Assumptions!$G$54+($L47-Assumptions!$G$54)*H$33</f>
        <v>3.0201653554328793E-2</v>
      </c>
      <c r="I47" s="1">
        <f>Assumptions!$G$54+($L47-Assumptions!$G$54)*I$33</f>
        <v>3.2403307108657589E-2</v>
      </c>
      <c r="J47" s="1">
        <f>Assumptions!$G$54+($L47-Assumptions!$G$54)*J$33</f>
        <v>3.4604960662986385E-2</v>
      </c>
      <c r="K47" s="1">
        <f>Assumptions!$G$54+($L47-Assumptions!$G$54)*K$33</f>
        <v>3.6806614217315174E-2</v>
      </c>
      <c r="L47" s="1">
        <f>((DCF!$L$9+L44)*DCF!$C$22/DCF!$C$24+DCF!$L$10+L45-(DCF!$L$12+L43)-(-Projections!$L$122+L46))/(Projections!$L$20+L39)</f>
        <v>3.900826777164397E-2</v>
      </c>
    </row>
    <row r="48" spans="1:12" hidden="1" outlineLevel="1">
      <c r="A48" s="1" t="s">
        <v>899</v>
      </c>
      <c r="C48" s="1">
        <f>DCF!C13+C44+C45-((Projections!C20+C39)*C47+Projections!C121)-C46-C43</f>
        <v>9107.2267585480877</v>
      </c>
      <c r="D48" s="1">
        <f>DCF!D13+D44+D45-((Projections!D20+D39)*D47+Projections!D121)-D46-D43</f>
        <v>10972.958369522506</v>
      </c>
      <c r="E48" s="1">
        <f>DCF!E13+E44+E45-((Projections!E20+E39)*E47+Projections!E121)-E46-E43</f>
        <v>11820.822887597757</v>
      </c>
      <c r="F48" s="1">
        <f>DCF!F13+F44+F45-((Projections!F20+F39)*F47+Projections!F121)-F46-F43</f>
        <v>12703.933185544909</v>
      </c>
      <c r="G48" s="1">
        <f>DCF!G13+G44+G45-((Projections!G20+G39)*G47+Projections!G121)-G46-G43</f>
        <v>13461.596525797528</v>
      </c>
      <c r="H48" s="1">
        <f>DCF!H13+H44+H45-((Projections!H20+H39)*H47+Projections!H121)-H46-H43</f>
        <v>13617.687427979303</v>
      </c>
      <c r="I48" s="1">
        <f>DCF!I13+I44+I45-((Projections!I20+I39)*I47+Projections!I121)-I46-I43</f>
        <v>13751.443456822424</v>
      </c>
      <c r="J48" s="1">
        <f>DCF!J13+J44+J45-((Projections!J20+J39)*J47+Projections!J121)-J46-J43</f>
        <v>13856.951172280222</v>
      </c>
      <c r="K48" s="1">
        <f>DCF!K13+K44+K45-((Projections!K20+K39)*K47+Projections!K121)-K46-K43</f>
        <v>13932.736024649124</v>
      </c>
      <c r="L48" s="1">
        <f>(DCF!$L$9+L44)*(1-DCF!$C$22/DCF!$C$24)</f>
        <v>13977.530209506382</v>
      </c>
    </row>
    <row r="49" spans="1:12" hidden="1" outlineLevel="1">
      <c r="A49" s="1" t="s">
        <v>30</v>
      </c>
      <c r="B49" s="1">
        <f>(SUMPRODUCT(C48:K48,DCF!$C$14:$K$14,DCF!$C$17:$K$17)+L48*DCF!$L$17*(1+(1+DCF!$C$22)/(DCF!$C$21-DCF!$C$22))+DCF!$C$44)/DCF!$C$46</f>
        <v>140.55838530343448</v>
      </c>
    </row>
    <row r="50" spans="1:12" hidden="1" outlineLevel="1"/>
    <row r="51" spans="1:12" hidden="1" outlineLevel="1">
      <c r="A51" s="1" t="s">
        <v>900</v>
      </c>
      <c r="B51" s="35">
        <f>$B$17-Assumptions!$C$28</f>
        <v>-2.0000000000000018E-2</v>
      </c>
      <c r="C51" s="35">
        <f>$D$16-Assumptions!$C$38</f>
        <v>-5.0000000000000044E-3</v>
      </c>
    </row>
    <row r="52" spans="1:12" hidden="1" outlineLevel="1">
      <c r="A52" s="1" t="s">
        <v>887</v>
      </c>
      <c r="C52" s="1">
        <f>Projections!B9*(1+Assumptions!C21+$B$51*C$32)</f>
        <v>14301.782857142862</v>
      </c>
      <c r="D52" s="1">
        <f>C52*(1+Assumptions!D21+$B$51*D$32)</f>
        <v>15159.889828571435</v>
      </c>
      <c r="E52" s="1">
        <f>D52*(1+Assumptions!E21+$B$51*E$32)</f>
        <v>15917.884320000006</v>
      </c>
      <c r="F52" s="1">
        <f>E52*(1+Assumptions!F21+$B$51*F$32)</f>
        <v>16554.599692800006</v>
      </c>
      <c r="G52" s="1">
        <f>F52*(1+Assumptions!G21+$B$51*G$32)</f>
        <v>17051.237683584008</v>
      </c>
      <c r="H52" s="1">
        <f>G52*(1+Assumptions!H21+$B$51*H$32)</f>
        <v>17562.774814091528</v>
      </c>
      <c r="I52" s="1">
        <f>H52*(1+Assumptions!I21+$B$51*I$32)</f>
        <v>18089.658058514273</v>
      </c>
      <c r="J52" s="1">
        <f>I52*(1+Assumptions!J21+$B$51*J$32)</f>
        <v>18632.347800269701</v>
      </c>
      <c r="K52" s="1">
        <f>J52*(1+Assumptions!K21+$B$51*K$32)</f>
        <v>19191.318234277791</v>
      </c>
      <c r="L52" s="1">
        <f>K52*(1+Assumptions!L21+$B$51*L$32)</f>
        <v>19767.057781306125</v>
      </c>
    </row>
    <row r="53" spans="1:12" hidden="1" outlineLevel="1">
      <c r="A53" s="1" t="s">
        <v>888</v>
      </c>
      <c r="C53" s="1">
        <f>Projections!B14*(1+Assumptions!C28+$B$51*C$32)</f>
        <v>19271.160000000003</v>
      </c>
      <c r="D53" s="1">
        <f>C53*(1+Assumptions!D28+$B$51*D$32)</f>
        <v>21198.276000000005</v>
      </c>
      <c r="E53" s="1">
        <f>D53*(1+Assumptions!E28+$B$51*E$32)</f>
        <v>22682.155320000005</v>
      </c>
      <c r="F53" s="1">
        <f>E53*(1+Assumptions!F28+$B$51*F$32)</f>
        <v>23816.263086000006</v>
      </c>
      <c r="G53" s="1">
        <f>F53*(1+Assumptions!G28+$B$51*G$32)</f>
        <v>24768.913609440009</v>
      </c>
      <c r="H53" s="1">
        <f>G53*(1+Assumptions!H28+$B$51*H$32)</f>
        <v>25710.13232659873</v>
      </c>
      <c r="I53" s="1">
        <f>H53*(1+Assumptions!I28+$B$51*I$32)</f>
        <v>26635.697090356287</v>
      </c>
      <c r="J53" s="1">
        <f>I53*(1+Assumptions!J28+$B$51*J$32)</f>
        <v>27541.310791428401</v>
      </c>
      <c r="K53" s="1">
        <f>J53*(1+Assumptions!K28+$B$51*K$32)</f>
        <v>28422.632736754109</v>
      </c>
      <c r="L53" s="1">
        <f>K53*(1+Assumptions!L28+$B$51*L$32)</f>
        <v>29275.311718856734</v>
      </c>
    </row>
    <row r="54" spans="1:12" hidden="1" outlineLevel="1">
      <c r="A54" s="1" t="s">
        <v>889</v>
      </c>
      <c r="C54" s="1">
        <f>(C52-Projections!C9)+(C53-Projections!C14)</f>
        <v>-604.45582417582409</v>
      </c>
      <c r="D54" s="1">
        <f>(D52-Projections!D9)+(D53-Projections!D14)</f>
        <v>-1337.448008791207</v>
      </c>
      <c r="E54" s="1">
        <f>(E52-Projections!E9)+(E53-Projections!E14)</f>
        <v>-2173.3201924395635</v>
      </c>
      <c r="F54" s="1">
        <f>(F52-Projections!F9)+(F53-Projections!F14)</f>
        <v>-3088.1825430074787</v>
      </c>
      <c r="G54" s="1">
        <f>(G52-Projections!G9)+(G53-Projections!G14)</f>
        <v>-4067.8800672548969</v>
      </c>
      <c r="H54" s="1">
        <f>(H52-Projections!H9)+(H53-Projections!H14)</f>
        <v>-4943.0903011406153</v>
      </c>
      <c r="I54" s="1">
        <f>(I52-Projections!I9)+(I53-Projections!I14)</f>
        <v>-5687.344888630214</v>
      </c>
      <c r="J54" s="1">
        <f>(J52-Projections!J9)+(J53-Projections!J14)</f>
        <v>-6274.6366984693195</v>
      </c>
      <c r="K54" s="1">
        <f>(K52-Projections!K9)+(K53-Projections!K14)</f>
        <v>-6680.0608502980976</v>
      </c>
      <c r="L54" s="1">
        <f>(L52-Projections!L9)+(L53-Projections!L14)</f>
        <v>-6880.4626758070408</v>
      </c>
    </row>
    <row r="55" spans="1:12" hidden="1" outlineLevel="1">
      <c r="A55" s="1" t="s">
        <v>890</v>
      </c>
      <c r="C55" s="1">
        <f>C54*(1+Assumptions!C32)</f>
        <v>-587.86624097684194</v>
      </c>
      <c r="D55" s="1">
        <f>D54*(1+Assumptions!D32)</f>
        <v>-1300.7410996528797</v>
      </c>
      <c r="E55" s="1">
        <f>E54*(1+Assumptions!E32)</f>
        <v>-2113.6723659012646</v>
      </c>
      <c r="F55" s="1">
        <f>F54*(1+Assumptions!F32)</f>
        <v>-3003.4258756352665</v>
      </c>
      <c r="G55" s="1">
        <f>G54*(1+Assumptions!G32)</f>
        <v>-3956.2351262681486</v>
      </c>
      <c r="H55" s="1">
        <f>H54*(1+Assumptions!H32)</f>
        <v>-4807.4247908898606</v>
      </c>
      <c r="I55" s="1">
        <f>I54*(1+Assumptions!I32)</f>
        <v>-5531.2529503320202</v>
      </c>
      <c r="J55" s="1">
        <f>J54*(1+Assumptions!J32)</f>
        <v>-6102.4262516685549</v>
      </c>
      <c r="K55" s="1">
        <f>K54*(1+Assumptions!K32)</f>
        <v>-6496.72334105764</v>
      </c>
      <c r="L55" s="1">
        <f>L54*(1+Assumptions!L32)</f>
        <v>-6691.6250412893696</v>
      </c>
    </row>
    <row r="56" spans="1:12" hidden="1" outlineLevel="1">
      <c r="A56" s="1" t="s">
        <v>891</v>
      </c>
      <c r="C56" s="1">
        <f>(C52-Projections!C9)*Assumptions!C36+(C53-Projections!C14)*Assumptions!C37+C55*(Assumptions!C39+Assumptions!C40)+Projections!C17*$C$51</f>
        <v>-232.01889514402941</v>
      </c>
      <c r="D56" s="1">
        <f>(D52-Projections!D9)*Assumptions!D36+(D53-Projections!D14)*Assumptions!D37+D55*(Assumptions!D39+Assumptions!D40)+Projections!D17*$C$51</f>
        <v>-338.92940685601519</v>
      </c>
      <c r="E56" s="1">
        <f>(E52-Projections!E9)*Assumptions!E36+(E53-Projections!E14)*Assumptions!E37+E55*(Assumptions!E39+Assumptions!E40)+Projections!E17*$C$51</f>
        <v>-464.84828641862134</v>
      </c>
      <c r="F56" s="1">
        <f>(F52-Projections!F9)*Assumptions!F36+(F53-Projections!F14)*Assumptions!F37+F55*(Assumptions!F39+Assumptions!F40)+Projections!F17*$C$51</f>
        <v>-608.4307297965529</v>
      </c>
      <c r="G56" s="1">
        <f>(G52-Projections!G9)*Assumptions!G36+(G53-Projections!G14)*Assumptions!G37+G55*(Assumptions!G39+Assumptions!G40)+Projections!G17*$C$51</f>
        <v>-759.95854523132277</v>
      </c>
      <c r="H56" s="1">
        <f>(H52-Projections!H9)*Assumptions!H36+(H53-Projections!H14)*Assumptions!H37+H55*(Assumptions!H39+Assumptions!H40)+Projections!H17*$C$51</f>
        <v>-887.79571258163219</v>
      </c>
      <c r="I56" s="1">
        <f>(I52-Projections!I9)*Assumptions!I36+(I53-Projections!I14)*Assumptions!I37+I55*(Assumptions!I39+Assumptions!I40)+Projections!I17*$C$51</f>
        <v>-997.35063136812755</v>
      </c>
      <c r="J56" s="1">
        <f>(J52-Projections!J9)*Assumptions!J36+(J53-Projections!J14)*Assumptions!J37+J55*(Assumptions!J39+Assumptions!J40)+Projections!J17*$C$51</f>
        <v>-1085.14593196091</v>
      </c>
      <c r="K56" s="1">
        <f>(K52-Projections!K9)*Assumptions!K36+(K53-Projections!K14)*Assumptions!K37+K55*(Assumptions!K39+Assumptions!K40)+Projections!K17*$C$51</f>
        <v>-1147.8322068099601</v>
      </c>
      <c r="L56" s="1">
        <f>(L52-Projections!L9)*Assumptions!L36+(L53-Projections!L14)*Assumptions!L37+L55*(Assumptions!L39+Assumptions!L40)+Projections!L17*$C$51</f>
        <v>-1182.267173014259</v>
      </c>
    </row>
    <row r="57" spans="1:12" hidden="1" outlineLevel="1">
      <c r="A57" s="1" t="s">
        <v>892</v>
      </c>
      <c r="C57" s="1">
        <f>C55*(1-Assumptions!C44-Assumptions!C45+Assumptions!C46)-C56</f>
        <v>-299.4121866990356</v>
      </c>
      <c r="D57" s="1">
        <f>D55*(1-Assumptions!D44-Assumptions!D45+Assumptions!D46)-D56</f>
        <v>-836.9405472301878</v>
      </c>
      <c r="E57" s="1">
        <f>E55*(1-Assumptions!E44-Assumptions!E45+Assumptions!E46)-E56</f>
        <v>-1445.9115323561218</v>
      </c>
      <c r="F57" s="1">
        <f>F55*(1-Assumptions!F44-Assumptions!F45+Assumptions!F46)-F56</f>
        <v>-2106.6662617777279</v>
      </c>
      <c r="G57" s="1">
        <f>G55*(1-Assumptions!G44-Assumptions!G45+Assumptions!G46)-G56</f>
        <v>-2816.4780089150836</v>
      </c>
      <c r="H57" s="1">
        <f>H55*(1-Assumptions!H44-Assumptions!H45+Assumptions!H46)-H56</f>
        <v>-3458.1162983828017</v>
      </c>
      <c r="I57" s="1">
        <f>I55*(1-Assumptions!I44-Assumptions!I45+Assumptions!I46)-I56</f>
        <v>-4002.9020357320187</v>
      </c>
      <c r="J57" s="1">
        <f>J55*(1-Assumptions!J44-Assumptions!J45+Assumptions!J46)-J56</f>
        <v>-4431.4473995474627</v>
      </c>
      <c r="K57" s="1">
        <f>K55*(1-Assumptions!K44-Assumptions!K45+Assumptions!K46)-K56</f>
        <v>-4725.2056935061464</v>
      </c>
      <c r="L57" s="1">
        <f>L55*(1-Assumptions!L44-Assumptions!L45+Assumptions!L46)-L56</f>
        <v>-4866.9618643113299</v>
      </c>
    </row>
    <row r="58" spans="1:12" hidden="1" outlineLevel="1">
      <c r="A58" s="1" t="s">
        <v>893</v>
      </c>
      <c r="C58" s="1">
        <f>C55*(Assumptions!C57/Assumptions!$C$9+Assumptions!C58+Assumptions!C62+Assumptions!C64+Assumptions!C65+Assumptions!C67-Assumptions!C63-Assumptions!C61-Assumptions!C66-Assumptions!C68)+C57*(Assumptions!C59-Assumptions!C60)/Assumptions!$C$9</f>
        <v>0.98164013457184751</v>
      </c>
      <c r="D58" s="1">
        <f>D55*(Assumptions!D57/Assumptions!$C$9+Assumptions!D58+Assumptions!D62+Assumptions!D64+Assumptions!D65+Assumptions!D67-Assumptions!D63-Assumptions!D61-Assumptions!D66-Assumptions!D68)+D57*(Assumptions!D59-Assumptions!D60)/Assumptions!$C$9</f>
        <v>8.5717117132719061</v>
      </c>
      <c r="E58" s="1">
        <f>E55*(Assumptions!E57/Assumptions!$C$9+Assumptions!E58+Assumptions!E62+Assumptions!E64+Assumptions!E65+Assumptions!E67-Assumptions!E63-Assumptions!E61-Assumptions!E66-Assumptions!E68)+E57*(Assumptions!E59-Assumptions!E60)/Assumptions!$C$9</f>
        <v>17.080251172364918</v>
      </c>
      <c r="F58" s="1">
        <f>F55*(Assumptions!F57/Assumptions!$C$9+Assumptions!F58+Assumptions!F62+Assumptions!F64+Assumptions!F65+Assumptions!F67-Assumptions!F63-Assumptions!F61-Assumptions!F66-Assumptions!F68)+F57*(Assumptions!F59-Assumptions!F60)/Assumptions!$C$9</f>
        <v>26.181387116605677</v>
      </c>
      <c r="G58" s="1">
        <f>G55*(Assumptions!G57/Assumptions!$C$9+Assumptions!G58+Assumptions!G62+Assumptions!G64+Assumptions!G65+Assumptions!G67-Assumptions!G63-Assumptions!G61-Assumptions!G66-Assumptions!G68)+G57*(Assumptions!G59-Assumptions!G60)/Assumptions!$C$9</f>
        <v>36.009323475895599</v>
      </c>
      <c r="H58" s="1">
        <f>H55*(Assumptions!H57/Assumptions!$C$9+Assumptions!H58+Assumptions!H62+Assumptions!H64+Assumptions!H65+Assumptions!H67-Assumptions!H63-Assumptions!H61-Assumptions!H66-Assumptions!H68)+H57*(Assumptions!H59-Assumptions!H60)/Assumptions!$C$9</f>
        <v>45.065320692450044</v>
      </c>
      <c r="I58" s="1">
        <f>I55*(Assumptions!I57/Assumptions!$C$9+Assumptions!I58+Assumptions!I62+Assumptions!I64+Assumptions!I65+Assumptions!I67-Assumptions!I63-Assumptions!I61-Assumptions!I66-Assumptions!I68)+I57*(Assumptions!I59-Assumptions!I60)/Assumptions!$C$9</f>
        <v>52.735264394640851</v>
      </c>
      <c r="J58" s="1">
        <f>J55*(Assumptions!J57/Assumptions!$C$9+Assumptions!J58+Assumptions!J62+Assumptions!J64+Assumptions!J65+Assumptions!J67-Assumptions!J63-Assumptions!J61-Assumptions!J66-Assumptions!J68)+J57*(Assumptions!J59-Assumptions!J60)/Assumptions!$C$9</f>
        <v>58.738264031886089</v>
      </c>
      <c r="K58" s="1">
        <f>K55*(Assumptions!K57/Assumptions!$C$9+Assumptions!K58+Assumptions!K62+Assumptions!K64+Assumptions!K65+Assumptions!K67-Assumptions!K63-Assumptions!K61-Assumptions!K66-Assumptions!K68)+K57*(Assumptions!K59-Assumptions!K60)/Assumptions!$C$9</f>
        <v>62.806046299226765</v>
      </c>
      <c r="L58" s="1">
        <f>L55*(Assumptions!L57/Assumptions!$C$9+Assumptions!L58+Assumptions!L62+Assumptions!L64+Assumptions!L65+Assumptions!L67-Assumptions!L63-Assumptions!L61-Assumptions!L66-Assumptions!L68)+L57*(Assumptions!L59-Assumptions!L60)/Assumptions!$C$9</f>
        <v>64.690227688203535</v>
      </c>
    </row>
    <row r="59" spans="1:12" hidden="1" outlineLevel="1">
      <c r="A59" s="1" t="s">
        <v>894</v>
      </c>
      <c r="C59" s="1">
        <f>C58</f>
        <v>0.98164013457184751</v>
      </c>
      <c r="D59" s="1">
        <f>D58-C58</f>
        <v>7.5900715787000586</v>
      </c>
      <c r="E59" s="1">
        <f>E58-D58</f>
        <v>8.5085394590930115</v>
      </c>
      <c r="F59" s="1">
        <f>F58-E58</f>
        <v>9.1011359442407596</v>
      </c>
      <c r="G59" s="1">
        <f>G58-F58</f>
        <v>9.8279363592899216</v>
      </c>
      <c r="H59" s="1">
        <f>H58-G58</f>
        <v>9.0559972165544451</v>
      </c>
      <c r="I59" s="1">
        <f>I58-H58</f>
        <v>7.6699437021908068</v>
      </c>
      <c r="J59" s="1">
        <f>J58-I58</f>
        <v>6.0029996372452388</v>
      </c>
      <c r="K59" s="1">
        <f>K58-J58</f>
        <v>4.0677822673406752</v>
      </c>
      <c r="L59" s="1">
        <f>L58-K58</f>
        <v>1.8841813889767707</v>
      </c>
    </row>
    <row r="60" spans="1:12" hidden="1" outlineLevel="1">
      <c r="A60" s="1" t="s">
        <v>895</v>
      </c>
      <c r="C60" s="1">
        <f>C56*(1-Assumptions!C49)</f>
        <v>-192.75749387535038</v>
      </c>
      <c r="D60" s="1">
        <f>D56*(1-Assumptions!D49)</f>
        <v>-274.32776514570929</v>
      </c>
      <c r="E60" s="1">
        <f>E56*(1-Assumptions!E49)</f>
        <v>-376.24587588295827</v>
      </c>
      <c r="F60" s="1">
        <f>F56*(1-Assumptions!F49)</f>
        <v>-492.46078674420875</v>
      </c>
      <c r="G60" s="1">
        <f>G56*(1-Assumptions!G49)</f>
        <v>-615.10664197178733</v>
      </c>
      <c r="H60" s="1">
        <f>H56*(1-Assumptions!H49)</f>
        <v>-718.57740524098529</v>
      </c>
      <c r="I60" s="1">
        <f>I56*(1-Assumptions!I49)</f>
        <v>-807.2506080480423</v>
      </c>
      <c r="J60" s="1">
        <f>J56*(1-Assumptions!J49)</f>
        <v>-878.31168482308146</v>
      </c>
      <c r="K60" s="1">
        <f>K56*(1-Assumptions!K49)</f>
        <v>-929.04964186307086</v>
      </c>
      <c r="L60" s="1">
        <f>L56*(1-Assumptions!L49)</f>
        <v>-956.92113111896299</v>
      </c>
    </row>
    <row r="61" spans="1:12" hidden="1" outlineLevel="1">
      <c r="A61" s="1" t="s">
        <v>896</v>
      </c>
      <c r="C61" s="1">
        <f>C55*Assumptions!C53</f>
        <v>-15.226945171629088</v>
      </c>
      <c r="D61" s="1">
        <f>D55*Assumptions!D53</f>
        <v>-33.691870745949444</v>
      </c>
      <c r="E61" s="1">
        <f>E55*Assumptions!E53</f>
        <v>-54.748463141692746</v>
      </c>
      <c r="F61" s="1">
        <f>F55*Assumptions!F53</f>
        <v>-77.794909704896412</v>
      </c>
      <c r="G61" s="1">
        <f>G55*Assumptions!G53</f>
        <v>-102.47462969408937</v>
      </c>
      <c r="H61" s="1">
        <f>H55*Assumptions!H53</f>
        <v>-124.52219332406611</v>
      </c>
      <c r="I61" s="1">
        <f>I55*Assumptions!I53</f>
        <v>-143.2708319245622</v>
      </c>
      <c r="J61" s="1">
        <f>J55*Assumptions!J53</f>
        <v>-158.06539561391074</v>
      </c>
      <c r="K61" s="1">
        <f>K55*Assumptions!K53</f>
        <v>-168.27850149235672</v>
      </c>
      <c r="L61" s="1">
        <f>L55*Assumptions!L53</f>
        <v>-173.32685653712744</v>
      </c>
    </row>
    <row r="62" spans="1:12" hidden="1" outlineLevel="1">
      <c r="A62" s="1" t="s">
        <v>897</v>
      </c>
      <c r="C62" s="1">
        <f>C55*Assumptions!C55</f>
        <v>-2.7774388235233296</v>
      </c>
      <c r="D62" s="1">
        <f>D55*Assumptions!D55</f>
        <v>-6.1454946341622874</v>
      </c>
      <c r="E62" s="1">
        <f>E55*Assumptions!E55</f>
        <v>-9.986277966068549</v>
      </c>
      <c r="F62" s="1">
        <f>F55*Assumptions!F55</f>
        <v>-14.190016451195662</v>
      </c>
      <c r="G62" s="1">
        <f>G55*Assumptions!G55</f>
        <v>-18.691668731351321</v>
      </c>
      <c r="H62" s="1">
        <f>H55*Assumptions!H55</f>
        <v>-22.713208081482634</v>
      </c>
      <c r="I62" s="1">
        <f>I55*Assumptions!I55</f>
        <v>-26.13301396836853</v>
      </c>
      <c r="J62" s="1">
        <f>J55*Assumptions!J55</f>
        <v>-28.831585159420435</v>
      </c>
      <c r="K62" s="1">
        <f>K55*Assumptions!K55</f>
        <v>-30.694485199830538</v>
      </c>
      <c r="L62" s="1">
        <f>L55*Assumptions!L55</f>
        <v>-31.615319755825453</v>
      </c>
    </row>
    <row r="63" spans="1:12" hidden="1" outlineLevel="1">
      <c r="A63" s="1" t="s">
        <v>898</v>
      </c>
      <c r="C63" s="1">
        <f>Assumptions!C54</f>
        <v>2.9000000000000001E-2</v>
      </c>
      <c r="D63" s="1">
        <f>Assumptions!D54</f>
        <v>0.03</v>
      </c>
      <c r="E63" s="1">
        <f>Assumptions!E54</f>
        <v>0.03</v>
      </c>
      <c r="F63" s="1">
        <f>Assumptions!F54</f>
        <v>2.9000000000000001E-2</v>
      </c>
      <c r="G63" s="1">
        <f>Assumptions!G54</f>
        <v>2.8000000000000001E-2</v>
      </c>
      <c r="H63" s="1">
        <f>Assumptions!$G$54+($L63-Assumptions!$G$54)*H$33</f>
        <v>3.0241072880318156E-2</v>
      </c>
      <c r="I63" s="1">
        <f>Assumptions!$G$54+($L63-Assumptions!$G$54)*I$33</f>
        <v>3.2482145760636308E-2</v>
      </c>
      <c r="J63" s="1">
        <f>Assumptions!$G$54+($L63-Assumptions!$G$54)*J$33</f>
        <v>3.4723218640954463E-2</v>
      </c>
      <c r="K63" s="1">
        <f>Assumptions!$G$54+($L63-Assumptions!$G$54)*K$33</f>
        <v>3.6964291521272619E-2</v>
      </c>
      <c r="L63" s="1">
        <f>((DCF!$L$9+L60)*DCF!$C$22/DCF!$C$24+DCF!$L$10+L61-(DCF!$L$12+L59)-(-Projections!$L$122+L62))/(Projections!$L$20+L55)</f>
        <v>3.9205364401590774E-2</v>
      </c>
    </row>
    <row r="64" spans="1:12" hidden="1" outlineLevel="1">
      <c r="A64" s="1" t="s">
        <v>899</v>
      </c>
      <c r="C64" s="1">
        <f>DCF!C13+C60+C61-((Projections!C20+C55)*C63+Projections!C121)-C62-C59</f>
        <v>9231.9325409350895</v>
      </c>
      <c r="D64" s="1">
        <f>DCF!D13+D60+D61-((Projections!D20+D55)*D63+Projections!D121)-D62-D59</f>
        <v>11108.560689713813</v>
      </c>
      <c r="E64" s="1">
        <f>DCF!E13+E60+E61-((Projections!E20+E55)*E63+Projections!E121)-E62-E59</f>
        <v>11964.618958394471</v>
      </c>
      <c r="F64" s="1">
        <f>DCF!F13+F60+F61-((Projections!F20+F55)*F63+Projections!F121)-F62-F59</f>
        <v>12854.980704072961</v>
      </c>
      <c r="G64" s="1">
        <f>DCF!G13+G60+G61-((Projections!G20+G55)*G63+Projections!G121)-G62-G59</f>
        <v>13618.75128790969</v>
      </c>
      <c r="H64" s="1">
        <f>DCF!H13+H60+H61-((Projections!H20+H55)*H63+Projections!H121)-H62-H59</f>
        <v>13775.932960843305</v>
      </c>
      <c r="I64" s="1">
        <f>DCF!I13+I60+I61-((Projections!I20+I55)*I63+Projections!I121)-I62-I59</f>
        <v>13910.331735959098</v>
      </c>
      <c r="J64" s="1">
        <f>DCF!J13+J60+J61-((Projections!J20+J55)*J63+Projections!J121)-J62-J59</f>
        <v>14016.017089212934</v>
      </c>
      <c r="K64" s="1">
        <f>DCF!K13+K60+K61-((Projections!K20+K55)*K63+Projections!K121)-K62-K59</f>
        <v>14091.500326851135</v>
      </c>
      <c r="L64" s="1">
        <f>(DCF!$L$9+L60)*(1-DCF!$C$22/DCF!$C$24)</f>
        <v>14135.502618339831</v>
      </c>
    </row>
    <row r="65" spans="1:12" hidden="1" outlineLevel="1">
      <c r="A65" s="1" t="s">
        <v>30</v>
      </c>
      <c r="B65" s="1">
        <f>(SUMPRODUCT(C64:K64,DCF!$C$14:$K$14,DCF!$C$17:$K$17)+L64*DCF!$L$17*(1+(1+DCF!$C$22)/(DCF!$C$21-DCF!$C$22))+DCF!$C$44)/DCF!$C$46</f>
        <v>142.42364827160571</v>
      </c>
    </row>
    <row r="66" spans="1:12" hidden="1" outlineLevel="1"/>
    <row r="67" spans="1:12" hidden="1" outlineLevel="1">
      <c r="A67" s="1" t="s">
        <v>901</v>
      </c>
      <c r="B67" s="35">
        <f>$B$17-Assumptions!$C$28</f>
        <v>-2.0000000000000018E-2</v>
      </c>
      <c r="C67" s="35">
        <f>$E$16-Assumptions!$C$38</f>
        <v>0</v>
      </c>
    </row>
    <row r="68" spans="1:12" hidden="1" outlineLevel="1">
      <c r="A68" s="1" t="s">
        <v>887</v>
      </c>
      <c r="C68" s="1">
        <f>Projections!B9*(1+Assumptions!C21+$B$67*C$32)</f>
        <v>14301.782857142862</v>
      </c>
      <c r="D68" s="1">
        <f>C68*(1+Assumptions!D21+$B$67*D$32)</f>
        <v>15159.889828571435</v>
      </c>
      <c r="E68" s="1">
        <f>D68*(1+Assumptions!E21+$B$67*E$32)</f>
        <v>15917.884320000006</v>
      </c>
      <c r="F68" s="1">
        <f>E68*(1+Assumptions!F21+$B$67*F$32)</f>
        <v>16554.599692800006</v>
      </c>
      <c r="G68" s="1">
        <f>F68*(1+Assumptions!G21+$B$67*G$32)</f>
        <v>17051.237683584008</v>
      </c>
      <c r="H68" s="1">
        <f>G68*(1+Assumptions!H21+$B$67*H$32)</f>
        <v>17562.774814091528</v>
      </c>
      <c r="I68" s="1">
        <f>H68*(1+Assumptions!I21+$B$67*I$32)</f>
        <v>18089.658058514273</v>
      </c>
      <c r="J68" s="1">
        <f>I68*(1+Assumptions!J21+$B$67*J$32)</f>
        <v>18632.347800269701</v>
      </c>
      <c r="K68" s="1">
        <f>J68*(1+Assumptions!K21+$B$67*K$32)</f>
        <v>19191.318234277791</v>
      </c>
      <c r="L68" s="1">
        <f>K68*(1+Assumptions!L21+$B$67*L$32)</f>
        <v>19767.057781306125</v>
      </c>
    </row>
    <row r="69" spans="1:12" hidden="1" outlineLevel="1">
      <c r="A69" s="1" t="s">
        <v>888</v>
      </c>
      <c r="C69" s="1">
        <f>Projections!B14*(1+Assumptions!C28+$B$67*C$32)</f>
        <v>19271.160000000003</v>
      </c>
      <c r="D69" s="1">
        <f>C69*(1+Assumptions!D28+$B$67*D$32)</f>
        <v>21198.276000000005</v>
      </c>
      <c r="E69" s="1">
        <f>D69*(1+Assumptions!E28+$B$67*E$32)</f>
        <v>22682.155320000005</v>
      </c>
      <c r="F69" s="1">
        <f>E69*(1+Assumptions!F28+$B$67*F$32)</f>
        <v>23816.263086000006</v>
      </c>
      <c r="G69" s="1">
        <f>F69*(1+Assumptions!G28+$B$67*G$32)</f>
        <v>24768.913609440009</v>
      </c>
      <c r="H69" s="1">
        <f>G69*(1+Assumptions!H28+$B$67*H$32)</f>
        <v>25710.13232659873</v>
      </c>
      <c r="I69" s="1">
        <f>H69*(1+Assumptions!I28+$B$67*I$32)</f>
        <v>26635.697090356287</v>
      </c>
      <c r="J69" s="1">
        <f>I69*(1+Assumptions!J28+$B$67*J$32)</f>
        <v>27541.310791428401</v>
      </c>
      <c r="K69" s="1">
        <f>J69*(1+Assumptions!K28+$B$67*K$32)</f>
        <v>28422.632736754109</v>
      </c>
      <c r="L69" s="1">
        <f>K69*(1+Assumptions!L28+$B$67*L$32)</f>
        <v>29275.311718856734</v>
      </c>
    </row>
    <row r="70" spans="1:12" hidden="1" outlineLevel="1">
      <c r="A70" s="1" t="s">
        <v>889</v>
      </c>
      <c r="C70" s="1">
        <f>(C68-Projections!C9)+(C69-Projections!C14)</f>
        <v>-604.45582417582409</v>
      </c>
      <c r="D70" s="1">
        <f>(D68-Projections!D9)+(D69-Projections!D14)</f>
        <v>-1337.448008791207</v>
      </c>
      <c r="E70" s="1">
        <f>(E68-Projections!E9)+(E69-Projections!E14)</f>
        <v>-2173.3201924395635</v>
      </c>
      <c r="F70" s="1">
        <f>(F68-Projections!F9)+(F69-Projections!F14)</f>
        <v>-3088.1825430074787</v>
      </c>
      <c r="G70" s="1">
        <f>(G68-Projections!G9)+(G69-Projections!G14)</f>
        <v>-4067.8800672548969</v>
      </c>
      <c r="H70" s="1">
        <f>(H68-Projections!H9)+(H69-Projections!H14)</f>
        <v>-4943.0903011406153</v>
      </c>
      <c r="I70" s="1">
        <f>(I68-Projections!I9)+(I69-Projections!I14)</f>
        <v>-5687.344888630214</v>
      </c>
      <c r="J70" s="1">
        <f>(J68-Projections!J9)+(J69-Projections!J14)</f>
        <v>-6274.6366984693195</v>
      </c>
      <c r="K70" s="1">
        <f>(K68-Projections!K9)+(K69-Projections!K14)</f>
        <v>-6680.0608502980976</v>
      </c>
      <c r="L70" s="1">
        <f>(L68-Projections!L9)+(L69-Projections!L14)</f>
        <v>-6880.4626758070408</v>
      </c>
    </row>
    <row r="71" spans="1:12" hidden="1" outlineLevel="1">
      <c r="A71" s="1" t="s">
        <v>890</v>
      </c>
      <c r="C71" s="1">
        <f>C70*(1+Assumptions!C32)</f>
        <v>-587.86624097684194</v>
      </c>
      <c r="D71" s="1">
        <f>D70*(1+Assumptions!D32)</f>
        <v>-1300.7410996528797</v>
      </c>
      <c r="E71" s="1">
        <f>E70*(1+Assumptions!E32)</f>
        <v>-2113.6723659012646</v>
      </c>
      <c r="F71" s="1">
        <f>F70*(1+Assumptions!F32)</f>
        <v>-3003.4258756352665</v>
      </c>
      <c r="G71" s="1">
        <f>G70*(1+Assumptions!G32)</f>
        <v>-3956.2351262681486</v>
      </c>
      <c r="H71" s="1">
        <f>H70*(1+Assumptions!H32)</f>
        <v>-4807.4247908898606</v>
      </c>
      <c r="I71" s="1">
        <f>I70*(1+Assumptions!I32)</f>
        <v>-5531.2529503320202</v>
      </c>
      <c r="J71" s="1">
        <f>J70*(1+Assumptions!J32)</f>
        <v>-6102.4262516685549</v>
      </c>
      <c r="K71" s="1">
        <f>K70*(1+Assumptions!K32)</f>
        <v>-6496.72334105764</v>
      </c>
      <c r="L71" s="1">
        <f>L70*(1+Assumptions!L32)</f>
        <v>-6691.6250412893696</v>
      </c>
    </row>
    <row r="72" spans="1:12" hidden="1" outlineLevel="1">
      <c r="A72" s="1" t="s">
        <v>891</v>
      </c>
      <c r="C72" s="1">
        <f>(C68-Projections!C9)*Assumptions!C36+(C69-Projections!C14)*Assumptions!C37+C71*(Assumptions!C39+Assumptions!C40)+Projections!C17*$C$67</f>
        <v>-74.978095144029254</v>
      </c>
      <c r="D72" s="1">
        <f>(D68-Projections!D9)*Assumptions!D36+(D69-Projections!D14)*Assumptions!D37+D71*(Assumptions!D39+Assumptions!D40)+Projections!D17*$C$67</f>
        <v>-170.89575085601498</v>
      </c>
      <c r="E72" s="1">
        <f>(E68-Projections!E9)*Assumptions!E36+(E69-Projections!E14)*Assumptions!E37+E71*(Assumptions!E39+Assumptions!E40)+Projections!E17*$C$67</f>
        <v>-286.73261105862116</v>
      </c>
      <c r="F72" s="1">
        <f>(F68-Projections!F9)*Assumptions!F36+(F69-Projections!F14)*Assumptions!F37+F71*(Assumptions!F39+Assumptions!F40)+Projections!F17*$C$67</f>
        <v>-421.40927066855267</v>
      </c>
      <c r="G72" s="1">
        <f>(G68-Projections!G9)*Assumptions!G36+(G69-Projections!G14)*Assumptions!G37+G71*(Assumptions!G39+Assumptions!G40)+Projections!G17*$C$67</f>
        <v>-565.45622773820253</v>
      </c>
      <c r="H72" s="1">
        <f>(H68-Projections!H9)*Assumptions!H36+(H69-Projections!H14)*Assumptions!H37+H71*(Assumptions!H39+Assumptions!H40)+Projections!H17*$C$67</f>
        <v>-685.90230702377335</v>
      </c>
      <c r="I72" s="1">
        <f>(I68-Projections!I9)*Assumptions!I36+(I69-Projections!I14)*Assumptions!I37+I71*(Assumptions!I39+Assumptions!I40)+Projections!I17*$C$67</f>
        <v>-788.18906321018585</v>
      </c>
      <c r="J72" s="1">
        <f>(J68-Projections!J9)*Assumptions!J36+(J69-Projections!J14)*Assumptions!J37+J71*(Assumptions!J39+Assumptions!J40)+Projections!J17*$C$67</f>
        <v>-868.87287048559824</v>
      </c>
      <c r="K72" s="1">
        <f>(K68-Projections!K9)*Assumptions!K36+(K69-Projections!K14)*Assumptions!K37+K71*(Assumptions!K39+Assumptions!K40)+Projections!K17*$C$67</f>
        <v>-924.63840736743828</v>
      </c>
      <c r="L72" s="1">
        <f>(L68-Projections!L9)*Assumptions!L36+(L69-Projections!L14)*Assumptions!L37+L71*(Assumptions!L39+Assumptions!L40)+Projections!L17*$C$67</f>
        <v>-952.37755958846162</v>
      </c>
    </row>
    <row r="73" spans="1:12" hidden="1" outlineLevel="1">
      <c r="A73" s="1" t="s">
        <v>892</v>
      </c>
      <c r="C73" s="1">
        <f>C71*(1-Assumptions!C44-Assumptions!C45+Assumptions!C46)-C72</f>
        <v>-456.45298669903582</v>
      </c>
      <c r="D73" s="1">
        <f>D71*(1-Assumptions!D44-Assumptions!D45+Assumptions!D46)-D72</f>
        <v>-1004.9742032301881</v>
      </c>
      <c r="E73" s="1">
        <f>E71*(1-Assumptions!E44-Assumptions!E45+Assumptions!E46)-E72</f>
        <v>-1624.0272077161219</v>
      </c>
      <c r="F73" s="1">
        <f>F71*(1-Assumptions!F44-Assumptions!F45+Assumptions!F46)-F72</f>
        <v>-2293.6877209057279</v>
      </c>
      <c r="G73" s="1">
        <f>G71*(1-Assumptions!G44-Assumptions!G45+Assumptions!G46)-G72</f>
        <v>-3010.9803264082038</v>
      </c>
      <c r="H73" s="1">
        <f>H71*(1-Assumptions!H44-Assumptions!H45+Assumptions!H46)-H72</f>
        <v>-3660.0097039406601</v>
      </c>
      <c r="I73" s="1">
        <f>I71*(1-Assumptions!I44-Assumptions!I45+Assumptions!I46)-I72</f>
        <v>-4212.0636038899602</v>
      </c>
      <c r="J73" s="1">
        <f>J71*(1-Assumptions!J44-Assumptions!J45+Assumptions!J46)-J72</f>
        <v>-4647.7204610227745</v>
      </c>
      <c r="K73" s="1">
        <f>K71*(1-Assumptions!K44-Assumptions!K45+Assumptions!K46)-K72</f>
        <v>-4948.399492948668</v>
      </c>
      <c r="L73" s="1">
        <f>L71*(1-Assumptions!L44-Assumptions!L45+Assumptions!L46)-L72</f>
        <v>-5096.8514777371274</v>
      </c>
    </row>
    <row r="74" spans="1:12" hidden="1" outlineLevel="1">
      <c r="A74" s="1" t="s">
        <v>893</v>
      </c>
      <c r="C74" s="1">
        <f>C71*(Assumptions!C57/Assumptions!$C$9+Assumptions!C58+Assumptions!C62+Assumptions!C64+Assumptions!C65+Assumptions!C67-Assumptions!C63-Assumptions!C61-Assumptions!C66-Assumptions!C68)+C73*(Assumptions!C59-Assumptions!C60)/Assumptions!$C$9</f>
        <v>6.7427795273194668</v>
      </c>
      <c r="D74" s="1">
        <f>D71*(Assumptions!D57/Assumptions!$C$9+Assumptions!D58+Assumptions!D62+Assumptions!D64+Assumptions!D65+Assumptions!D67-Assumptions!D63-Assumptions!D61-Assumptions!D66-Assumptions!D68)+D73*(Assumptions!D59-Assumptions!D60)/Assumptions!$C$9</f>
        <v>14.73613086351186</v>
      </c>
      <c r="E74" s="1">
        <f>E71*(Assumptions!E57/Assumptions!$C$9+Assumptions!E58+Assumptions!E62+Assumptions!E64+Assumptions!E65+Assumptions!E67-Assumptions!E63-Assumptions!E61-Assumptions!E66-Assumptions!E68)+E73*(Assumptions!E59-Assumptions!E60)/Assumptions!$C$9</f>
        <v>23.614535471619263</v>
      </c>
      <c r="F74" s="1">
        <f>F71*(Assumptions!F57/Assumptions!$C$9+Assumptions!F58+Assumptions!F62+Assumptions!F64+Assumptions!F65+Assumptions!F67-Assumptions!F63-Assumptions!F61-Assumptions!F66-Assumptions!F68)+F73*(Assumptions!F59-Assumptions!F60)/Assumptions!$C$9</f>
        <v>33.042385630822736</v>
      </c>
      <c r="G74" s="1">
        <f>G71*(Assumptions!G57/Assumptions!$C$9+Assumptions!G58+Assumptions!G62+Assumptions!G64+Assumptions!G65+Assumptions!G67-Assumptions!G63-Assumptions!G61-Assumptions!G66-Assumptions!G68)+G73*(Assumptions!G59-Assumptions!G60)/Assumptions!$C$9</f>
        <v>43.144761930681327</v>
      </c>
      <c r="H74" s="1">
        <f>H71*(Assumptions!H57/Assumptions!$C$9+Assumptions!H58+Assumptions!H62+Assumptions!H64+Assumptions!H65+Assumptions!H67-Assumptions!H63-Assumptions!H61-Assumptions!H66-Assumptions!H68)+H73*(Assumptions!H59-Assumptions!H60)/Assumptions!$C$9</f>
        <v>52.471905808517647</v>
      </c>
      <c r="I74" s="1">
        <f>I71*(Assumptions!I57/Assumptions!$C$9+Assumptions!I58+Assumptions!I62+Assumptions!I64+Assumptions!I65+Assumptions!I67-Assumptions!I63-Assumptions!I61-Assumptions!I66-Assumptions!I68)+I73*(Assumptions!I59-Assumptions!I60)/Assumptions!$C$9</f>
        <v>60.408486574886879</v>
      </c>
      <c r="J74" s="1">
        <f>J71*(Assumptions!J57/Assumptions!$C$9+Assumptions!J58+Assumptions!J62+Assumptions!J64+Assumptions!J65+Assumptions!J67-Assumptions!J63-Assumptions!J61-Assumptions!J66-Assumptions!J68)+J73*(Assumptions!J59-Assumptions!J60)/Assumptions!$C$9</f>
        <v>66.672375766260515</v>
      </c>
      <c r="K74" s="1">
        <f>K71*(Assumptions!K57/Assumptions!$C$9+Assumptions!K58+Assumptions!K62+Assumptions!K64+Assumptions!K65+Assumptions!K67-Assumptions!K63-Assumptions!K61-Assumptions!K66-Assumptions!K68)+K73*(Assumptions!K59-Assumptions!K60)/Assumptions!$C$9</f>
        <v>70.99404960910114</v>
      </c>
      <c r="L74" s="1">
        <f>L71*(Assumptions!L57/Assumptions!$C$9+Assumptions!L58+Assumptions!L62+Assumptions!L64+Assumptions!L65+Assumptions!L67-Assumptions!L63-Assumptions!L61-Assumptions!L66-Assumptions!L68)+L73*(Assumptions!L59-Assumptions!L60)/Assumptions!$C$9</f>
        <v>73.123871097374163</v>
      </c>
    </row>
    <row r="75" spans="1:12" hidden="1" outlineLevel="1">
      <c r="A75" s="1" t="s">
        <v>894</v>
      </c>
      <c r="C75" s="1">
        <f>C74</f>
        <v>6.7427795273194668</v>
      </c>
      <c r="D75" s="1">
        <f>D74-C74</f>
        <v>7.9933513361923936</v>
      </c>
      <c r="E75" s="1">
        <f>E74-D74</f>
        <v>8.8784046081074024</v>
      </c>
      <c r="F75" s="1">
        <f>F74-E74</f>
        <v>9.4278501592034729</v>
      </c>
      <c r="G75" s="1">
        <f>G74-F74</f>
        <v>10.102376299858591</v>
      </c>
      <c r="H75" s="1">
        <f>H74-G74</f>
        <v>9.3271438778363205</v>
      </c>
      <c r="I75" s="1">
        <f>I74-H74</f>
        <v>7.9365807663692323</v>
      </c>
      <c r="J75" s="1">
        <f>J74-I74</f>
        <v>6.2638891913736359</v>
      </c>
      <c r="K75" s="1">
        <f>K74-J74</f>
        <v>4.3216738428406245</v>
      </c>
      <c r="L75" s="1">
        <f>L74-K74</f>
        <v>2.1298214882730235</v>
      </c>
    </row>
    <row r="76" spans="1:12" hidden="1" outlineLevel="1">
      <c r="A76" s="1" t="s">
        <v>895</v>
      </c>
      <c r="C76" s="1">
        <f>C72*(1-Assumptions!C49)</f>
        <v>-62.290572095600155</v>
      </c>
      <c r="D76" s="1">
        <f>D72*(1-Assumptions!D49)</f>
        <v>-138.32216519691019</v>
      </c>
      <c r="E76" s="1">
        <f>E72*(1-Assumptions!E49)</f>
        <v>-232.07993993723127</v>
      </c>
      <c r="F76" s="1">
        <f>F72*(1-Assumptions!F49)</f>
        <v>-341.0865540011954</v>
      </c>
      <c r="G76" s="1">
        <f>G72*(1-Assumptions!G49)</f>
        <v>-457.67743991905348</v>
      </c>
      <c r="H76" s="1">
        <f>H72*(1-Assumptions!H49)</f>
        <v>-555.16589351024743</v>
      </c>
      <c r="I76" s="1">
        <f>I72*(1-Assumptions!I49)</f>
        <v>-637.95628189499791</v>
      </c>
      <c r="J76" s="1">
        <f>J72*(1-Assumptions!J49)</f>
        <v>-703.26135158083355</v>
      </c>
      <c r="K76" s="1">
        <f>K72*(1-Assumptions!K49)</f>
        <v>-748.39769795707093</v>
      </c>
      <c r="L76" s="1">
        <f>L72*(1-Assumptions!L49)</f>
        <v>-770.84962889578321</v>
      </c>
    </row>
    <row r="77" spans="1:12" hidden="1" outlineLevel="1">
      <c r="A77" s="1" t="s">
        <v>896</v>
      </c>
      <c r="C77" s="1">
        <f>C71*Assumptions!C53</f>
        <v>-15.226945171629088</v>
      </c>
      <c r="D77" s="1">
        <f>D71*Assumptions!D53</f>
        <v>-33.691870745949444</v>
      </c>
      <c r="E77" s="1">
        <f>E71*Assumptions!E53</f>
        <v>-54.748463141692746</v>
      </c>
      <c r="F77" s="1">
        <f>F71*Assumptions!F53</f>
        <v>-77.794909704896412</v>
      </c>
      <c r="G77" s="1">
        <f>G71*Assumptions!G53</f>
        <v>-102.47462969408937</v>
      </c>
      <c r="H77" s="1">
        <f>H71*Assumptions!H53</f>
        <v>-124.52219332406611</v>
      </c>
      <c r="I77" s="1">
        <f>I71*Assumptions!I53</f>
        <v>-143.2708319245622</v>
      </c>
      <c r="J77" s="1">
        <f>J71*Assumptions!J53</f>
        <v>-158.06539561391074</v>
      </c>
      <c r="K77" s="1">
        <f>K71*Assumptions!K53</f>
        <v>-168.27850149235672</v>
      </c>
      <c r="L77" s="1">
        <f>L71*Assumptions!L53</f>
        <v>-173.32685653712744</v>
      </c>
    </row>
    <row r="78" spans="1:12" hidden="1" outlineLevel="1">
      <c r="A78" s="1" t="s">
        <v>897</v>
      </c>
      <c r="C78" s="1">
        <f>C71*Assumptions!C55</f>
        <v>-2.7774388235233296</v>
      </c>
      <c r="D78" s="1">
        <f>D71*Assumptions!D55</f>
        <v>-6.1454946341622874</v>
      </c>
      <c r="E78" s="1">
        <f>E71*Assumptions!E55</f>
        <v>-9.986277966068549</v>
      </c>
      <c r="F78" s="1">
        <f>F71*Assumptions!F55</f>
        <v>-14.190016451195662</v>
      </c>
      <c r="G78" s="1">
        <f>G71*Assumptions!G55</f>
        <v>-18.691668731351321</v>
      </c>
      <c r="H78" s="1">
        <f>H71*Assumptions!H55</f>
        <v>-22.713208081482634</v>
      </c>
      <c r="I78" s="1">
        <f>I71*Assumptions!I55</f>
        <v>-26.13301396836853</v>
      </c>
      <c r="J78" s="1">
        <f>J71*Assumptions!J55</f>
        <v>-28.831585159420435</v>
      </c>
      <c r="K78" s="1">
        <f>K71*Assumptions!K55</f>
        <v>-30.694485199830538</v>
      </c>
      <c r="L78" s="1">
        <f>L71*Assumptions!L55</f>
        <v>-31.615319755825453</v>
      </c>
    </row>
    <row r="79" spans="1:12" hidden="1" outlineLevel="1">
      <c r="A79" s="1" t="s">
        <v>898</v>
      </c>
      <c r="C79" s="1">
        <f>Assumptions!C54</f>
        <v>2.9000000000000001E-2</v>
      </c>
      <c r="D79" s="1">
        <f>Assumptions!D54</f>
        <v>0.03</v>
      </c>
      <c r="E79" s="1">
        <f>Assumptions!E54</f>
        <v>0.03</v>
      </c>
      <c r="F79" s="1">
        <f>Assumptions!F54</f>
        <v>2.9000000000000001E-2</v>
      </c>
      <c r="G79" s="1">
        <f>Assumptions!G54</f>
        <v>2.8000000000000001E-2</v>
      </c>
      <c r="H79" s="1">
        <f>Assumptions!$G$54+($L79-Assumptions!$G$54)*H$33</f>
        <v>3.0280492206307515E-2</v>
      </c>
      <c r="I79" s="1">
        <f>Assumptions!$G$54+($L79-Assumptions!$G$54)*I$33</f>
        <v>3.2560984412615027E-2</v>
      </c>
      <c r="J79" s="1">
        <f>Assumptions!$G$54+($L79-Assumptions!$G$54)*J$33</f>
        <v>3.4841476618922541E-2</v>
      </c>
      <c r="K79" s="1">
        <f>Assumptions!$G$54+($L79-Assumptions!$G$54)*K$33</f>
        <v>3.7121968825230056E-2</v>
      </c>
      <c r="L79" s="1">
        <f>((DCF!$L$9+L76)*DCF!$C$22/DCF!$C$24+DCF!$L$10+L77-(DCF!$L$12+L75)-(-Projections!$L$122+L78))/(Projections!$L$20+L71)</f>
        <v>3.9402461031537571E-2</v>
      </c>
    </row>
    <row r="80" spans="1:12" hidden="1" outlineLevel="1">
      <c r="A80" s="1" t="s">
        <v>899</v>
      </c>
      <c r="C80" s="1">
        <f>DCF!C13+C76+C77-((Projections!C20+C71)*C79+Projections!C121)-C78-C75</f>
        <v>9356.6383233220913</v>
      </c>
      <c r="D80" s="1">
        <f>DCF!D13+D76+D77-((Projections!D20+D71)*D79+Projections!D121)-D78-D75</f>
        <v>11244.16300990512</v>
      </c>
      <c r="E80" s="1">
        <f>DCF!E13+E76+E77-((Projections!E20+E71)*E79+Projections!E121)-E78-E75</f>
        <v>12108.415029191183</v>
      </c>
      <c r="F80" s="1">
        <f>DCF!F13+F76+F77-((Projections!F20+F71)*F79+Projections!F121)-F78-F75</f>
        <v>13006.028222601011</v>
      </c>
      <c r="G80" s="1">
        <f>DCF!G13+G76+G77-((Projections!G20+G71)*G79+Projections!G121)-G78-G75</f>
        <v>13775.906050021857</v>
      </c>
      <c r="H80" s="1">
        <f>DCF!H13+H76+H77-((Projections!H20+H71)*H79+Projections!H121)-H78-H75</f>
        <v>13934.178493707308</v>
      </c>
      <c r="I80" s="1">
        <f>DCF!I13+I76+I77-((Projections!I20+I71)*I79+Projections!I121)-I78-I75</f>
        <v>14069.220015095769</v>
      </c>
      <c r="J80" s="1">
        <f>DCF!J13+J76+J77-((Projections!J20+J71)*J79+Projections!J121)-J78-J75</f>
        <v>14175.083006145644</v>
      </c>
      <c r="K80" s="1">
        <f>DCF!K13+K76+K77-((Projections!K20+K71)*K79+Projections!K121)-K78-K75</f>
        <v>14250.264629053143</v>
      </c>
      <c r="L80" s="1">
        <f>(DCF!$L$9+L76)*(1-DCF!$C$22/DCF!$C$24)</f>
        <v>14293.475027173285</v>
      </c>
    </row>
    <row r="81" spans="1:12" hidden="1" outlineLevel="1">
      <c r="A81" s="1" t="s">
        <v>30</v>
      </c>
      <c r="B81" s="1">
        <f>(SUMPRODUCT(C80:K80,DCF!$C$14:$K$14,DCF!$C$17:$K$17)+L80*DCF!$L$17*(1+(1+DCF!$C$22)/(DCF!$C$21-DCF!$C$22))+DCF!$C$44)/DCF!$C$46</f>
        <v>144.28891123977698</v>
      </c>
    </row>
    <row r="82" spans="1:12" hidden="1" outlineLevel="1"/>
    <row r="83" spans="1:12" hidden="1" outlineLevel="1">
      <c r="A83" s="1" t="s">
        <v>902</v>
      </c>
      <c r="B83" s="35">
        <f>$B$17-Assumptions!$C$28</f>
        <v>-2.0000000000000018E-2</v>
      </c>
      <c r="C83" s="35">
        <f>$F$16-Assumptions!$C$38</f>
        <v>5.0000000000000044E-3</v>
      </c>
    </row>
    <row r="84" spans="1:12" hidden="1" outlineLevel="1">
      <c r="A84" s="1" t="s">
        <v>887</v>
      </c>
      <c r="C84" s="1">
        <f>Projections!B9*(1+Assumptions!C21+$B$83*C$32)</f>
        <v>14301.782857142862</v>
      </c>
      <c r="D84" s="1">
        <f>C84*(1+Assumptions!D21+$B$83*D$32)</f>
        <v>15159.889828571435</v>
      </c>
      <c r="E84" s="1">
        <f>D84*(1+Assumptions!E21+$B$83*E$32)</f>
        <v>15917.884320000006</v>
      </c>
      <c r="F84" s="1">
        <f>E84*(1+Assumptions!F21+$B$83*F$32)</f>
        <v>16554.599692800006</v>
      </c>
      <c r="G84" s="1">
        <f>F84*(1+Assumptions!G21+$B$83*G$32)</f>
        <v>17051.237683584008</v>
      </c>
      <c r="H84" s="1">
        <f>G84*(1+Assumptions!H21+$B$83*H$32)</f>
        <v>17562.774814091528</v>
      </c>
      <c r="I84" s="1">
        <f>H84*(1+Assumptions!I21+$B$83*I$32)</f>
        <v>18089.658058514273</v>
      </c>
      <c r="J84" s="1">
        <f>I84*(1+Assumptions!J21+$B$83*J$32)</f>
        <v>18632.347800269701</v>
      </c>
      <c r="K84" s="1">
        <f>J84*(1+Assumptions!K21+$B$83*K$32)</f>
        <v>19191.318234277791</v>
      </c>
      <c r="L84" s="1">
        <f>K84*(1+Assumptions!L21+$B$83*L$32)</f>
        <v>19767.057781306125</v>
      </c>
    </row>
    <row r="85" spans="1:12" hidden="1" outlineLevel="1">
      <c r="A85" s="1" t="s">
        <v>888</v>
      </c>
      <c r="C85" s="1">
        <f>Projections!B14*(1+Assumptions!C28+$B$83*C$32)</f>
        <v>19271.160000000003</v>
      </c>
      <c r="D85" s="1">
        <f>C85*(1+Assumptions!D28+$B$83*D$32)</f>
        <v>21198.276000000005</v>
      </c>
      <c r="E85" s="1">
        <f>D85*(1+Assumptions!E28+$B$83*E$32)</f>
        <v>22682.155320000005</v>
      </c>
      <c r="F85" s="1">
        <f>E85*(1+Assumptions!F28+$B$83*F$32)</f>
        <v>23816.263086000006</v>
      </c>
      <c r="G85" s="1">
        <f>F85*(1+Assumptions!G28+$B$83*G$32)</f>
        <v>24768.913609440009</v>
      </c>
      <c r="H85" s="1">
        <f>G85*(1+Assumptions!H28+$B$83*H$32)</f>
        <v>25710.13232659873</v>
      </c>
      <c r="I85" s="1">
        <f>H85*(1+Assumptions!I28+$B$83*I$32)</f>
        <v>26635.697090356287</v>
      </c>
      <c r="J85" s="1">
        <f>I85*(1+Assumptions!J28+$B$83*J$32)</f>
        <v>27541.310791428401</v>
      </c>
      <c r="K85" s="1">
        <f>J85*(1+Assumptions!K28+$B$83*K$32)</f>
        <v>28422.632736754109</v>
      </c>
      <c r="L85" s="1">
        <f>K85*(1+Assumptions!L28+$B$83*L$32)</f>
        <v>29275.311718856734</v>
      </c>
    </row>
    <row r="86" spans="1:12" hidden="1" outlineLevel="1">
      <c r="A86" s="1" t="s">
        <v>889</v>
      </c>
      <c r="C86" s="1">
        <f>(C84-Projections!C9)+(C85-Projections!C14)</f>
        <v>-604.45582417582409</v>
      </c>
      <c r="D86" s="1">
        <f>(D84-Projections!D9)+(D85-Projections!D14)</f>
        <v>-1337.448008791207</v>
      </c>
      <c r="E86" s="1">
        <f>(E84-Projections!E9)+(E85-Projections!E14)</f>
        <v>-2173.3201924395635</v>
      </c>
      <c r="F86" s="1">
        <f>(F84-Projections!F9)+(F85-Projections!F14)</f>
        <v>-3088.1825430074787</v>
      </c>
      <c r="G86" s="1">
        <f>(G84-Projections!G9)+(G85-Projections!G14)</f>
        <v>-4067.8800672548969</v>
      </c>
      <c r="H86" s="1">
        <f>(H84-Projections!H9)+(H85-Projections!H14)</f>
        <v>-4943.0903011406153</v>
      </c>
      <c r="I86" s="1">
        <f>(I84-Projections!I9)+(I85-Projections!I14)</f>
        <v>-5687.344888630214</v>
      </c>
      <c r="J86" s="1">
        <f>(J84-Projections!J9)+(J85-Projections!J14)</f>
        <v>-6274.6366984693195</v>
      </c>
      <c r="K86" s="1">
        <f>(K84-Projections!K9)+(K85-Projections!K14)</f>
        <v>-6680.0608502980976</v>
      </c>
      <c r="L86" s="1">
        <f>(L84-Projections!L9)+(L85-Projections!L14)</f>
        <v>-6880.4626758070408</v>
      </c>
    </row>
    <row r="87" spans="1:12" hidden="1" outlineLevel="1">
      <c r="A87" s="1" t="s">
        <v>890</v>
      </c>
      <c r="C87" s="1">
        <f>C86*(1+Assumptions!C32)</f>
        <v>-587.86624097684194</v>
      </c>
      <c r="D87" s="1">
        <f>D86*(1+Assumptions!D32)</f>
        <v>-1300.7410996528797</v>
      </c>
      <c r="E87" s="1">
        <f>E86*(1+Assumptions!E32)</f>
        <v>-2113.6723659012646</v>
      </c>
      <c r="F87" s="1">
        <f>F86*(1+Assumptions!F32)</f>
        <v>-3003.4258756352665</v>
      </c>
      <c r="G87" s="1">
        <f>G86*(1+Assumptions!G32)</f>
        <v>-3956.2351262681486</v>
      </c>
      <c r="H87" s="1">
        <f>H86*(1+Assumptions!H32)</f>
        <v>-4807.4247908898606</v>
      </c>
      <c r="I87" s="1">
        <f>I86*(1+Assumptions!I32)</f>
        <v>-5531.2529503320202</v>
      </c>
      <c r="J87" s="1">
        <f>J86*(1+Assumptions!J32)</f>
        <v>-6102.4262516685549</v>
      </c>
      <c r="K87" s="1">
        <f>K86*(1+Assumptions!K32)</f>
        <v>-6496.72334105764</v>
      </c>
      <c r="L87" s="1">
        <f>L86*(1+Assumptions!L32)</f>
        <v>-6691.6250412893696</v>
      </c>
    </row>
    <row r="88" spans="1:12" hidden="1" outlineLevel="1">
      <c r="A88" s="1" t="s">
        <v>891</v>
      </c>
      <c r="C88" s="1">
        <f>(C84-Projections!C9)*Assumptions!C36+(C85-Projections!C14)*Assumptions!C37+C87*(Assumptions!C39+Assumptions!C40)+Projections!C17*$C$83</f>
        <v>82.062704855970907</v>
      </c>
      <c r="D88" s="1">
        <f>(D84-Projections!D9)*Assumptions!D36+(D85-Projections!D14)*Assumptions!D37+D87*(Assumptions!D39+Assumptions!D40)+Projections!D17*$C$83</f>
        <v>-2.8620948560147781</v>
      </c>
      <c r="E88" s="1">
        <f>(E84-Projections!E9)*Assumptions!E36+(E85-Projections!E14)*Assumptions!E37+E87*(Assumptions!E39+Assumptions!E40)+Projections!E17*$C$83</f>
        <v>-108.61693569862095</v>
      </c>
      <c r="F88" s="1">
        <f>(F84-Projections!F9)*Assumptions!F36+(F85-Projections!F14)*Assumptions!F37+F87*(Assumptions!F39+Assumptions!F40)+Projections!F17*$C$83</f>
        <v>-234.38781154055243</v>
      </c>
      <c r="G88" s="1">
        <f>(G84-Projections!G9)*Assumptions!G36+(G85-Projections!G14)*Assumptions!G37+G87*(Assumptions!G39+Assumptions!G40)+Projections!G17*$C$83</f>
        <v>-370.95391024508228</v>
      </c>
      <c r="H88" s="1">
        <f>(H84-Projections!H9)*Assumptions!H36+(H85-Projections!H14)*Assumptions!H37+H87*(Assumptions!H39+Assumptions!H40)+Projections!H17*$C$83</f>
        <v>-484.00890146591451</v>
      </c>
      <c r="I88" s="1">
        <f>(I84-Projections!I9)*Assumptions!I36+(I85-Projections!I14)*Assumptions!I37+I87*(Assumptions!I39+Assumptions!I40)+Projections!I17*$C$83</f>
        <v>-579.02749505224415</v>
      </c>
      <c r="J88" s="1">
        <f>(J84-Projections!J9)*Assumptions!J36+(J85-Projections!J14)*Assumptions!J37+J87*(Assumptions!J39+Assumptions!J40)+Projections!J17*$C$83</f>
        <v>-652.59980901028644</v>
      </c>
      <c r="K88" s="1">
        <f>(K84-Projections!K9)*Assumptions!K36+(K85-Projections!K14)*Assumptions!K37+K87*(Assumptions!K39+Assumptions!K40)+Projections!K17*$C$83</f>
        <v>-701.44460792491657</v>
      </c>
      <c r="L88" s="1">
        <f>(L84-Projections!L9)*Assumptions!L36+(L85-Projections!L14)*Assumptions!L37+L87*(Assumptions!L39+Assumptions!L40)+Projections!L17*$C$83</f>
        <v>-722.48794616266423</v>
      </c>
    </row>
    <row r="89" spans="1:12" hidden="1" outlineLevel="1">
      <c r="A89" s="1" t="s">
        <v>892</v>
      </c>
      <c r="C89" s="1">
        <f>C87*(1-Assumptions!C44-Assumptions!C45+Assumptions!C46)-C88</f>
        <v>-613.49378669903592</v>
      </c>
      <c r="D89" s="1">
        <f>D87*(1-Assumptions!D44-Assumptions!D45+Assumptions!D46)-D88</f>
        <v>-1173.0078592301884</v>
      </c>
      <c r="E89" s="1">
        <f>E87*(1-Assumptions!E44-Assumptions!E45+Assumptions!E46)-E88</f>
        <v>-1802.1428830761222</v>
      </c>
      <c r="F89" s="1">
        <f>F87*(1-Assumptions!F44-Assumptions!F45+Assumptions!F46)-F88</f>
        <v>-2480.7091800337284</v>
      </c>
      <c r="G89" s="1">
        <f>G87*(1-Assumptions!G44-Assumptions!G45+Assumptions!G46)-G88</f>
        <v>-3205.4826439013241</v>
      </c>
      <c r="H89" s="1">
        <f>H87*(1-Assumptions!H44-Assumptions!H45+Assumptions!H46)-H88</f>
        <v>-3861.9031094985194</v>
      </c>
      <c r="I89" s="1">
        <f>I87*(1-Assumptions!I44-Assumptions!I45+Assumptions!I46)-I88</f>
        <v>-4421.2251720479017</v>
      </c>
      <c r="J89" s="1">
        <f>J87*(1-Assumptions!J44-Assumptions!J45+Assumptions!J46)-J88</f>
        <v>-4863.9935224980863</v>
      </c>
      <c r="K89" s="1">
        <f>K87*(1-Assumptions!K44-Assumptions!K45+Assumptions!K46)-K88</f>
        <v>-5171.5932923911896</v>
      </c>
      <c r="L89" s="1">
        <f>L87*(1-Assumptions!L44-Assumptions!L45+Assumptions!L46)-L88</f>
        <v>-5326.7410911629249</v>
      </c>
    </row>
    <row r="90" spans="1:12" hidden="1" outlineLevel="1">
      <c r="A90" s="1" t="s">
        <v>893</v>
      </c>
      <c r="C90" s="1">
        <f>C87*(Assumptions!C57/Assumptions!$C$9+Assumptions!C58+Assumptions!C62+Assumptions!C64+Assumptions!C65+Assumptions!C67-Assumptions!C63-Assumptions!C61-Assumptions!C66-Assumptions!C68)+C89*(Assumptions!C59-Assumptions!C60)/Assumptions!$C$9</f>
        <v>12.503918920067079</v>
      </c>
      <c r="D90" s="1">
        <f>D87*(Assumptions!D57/Assumptions!$C$9+Assumptions!D58+Assumptions!D62+Assumptions!D64+Assumptions!D65+Assumptions!D67-Assumptions!D63-Assumptions!D61-Assumptions!D66-Assumptions!D68)+D89*(Assumptions!D59-Assumptions!D60)/Assumptions!$C$9</f>
        <v>20.900550013751818</v>
      </c>
      <c r="E90" s="1">
        <f>E87*(Assumptions!E57/Assumptions!$C$9+Assumptions!E58+Assumptions!E62+Assumptions!E64+Assumptions!E65+Assumptions!E67-Assumptions!E63-Assumptions!E61-Assumptions!E66-Assumptions!E68)+E89*(Assumptions!E59-Assumptions!E60)/Assumptions!$C$9</f>
        <v>30.148819770873615</v>
      </c>
      <c r="F90" s="1">
        <f>F87*(Assumptions!F57/Assumptions!$C$9+Assumptions!F58+Assumptions!F62+Assumptions!F64+Assumptions!F65+Assumptions!F67-Assumptions!F63-Assumptions!F61-Assumptions!F66-Assumptions!F68)+F89*(Assumptions!F59-Assumptions!F60)/Assumptions!$C$9</f>
        <v>39.903384145039823</v>
      </c>
      <c r="G90" s="1">
        <f>G87*(Assumptions!G57/Assumptions!$C$9+Assumptions!G58+Assumptions!G62+Assumptions!G64+Assumptions!G65+Assumptions!G67-Assumptions!G63-Assumptions!G61-Assumptions!G66-Assumptions!G68)+G89*(Assumptions!G59-Assumptions!G60)/Assumptions!$C$9</f>
        <v>50.280200385467083</v>
      </c>
      <c r="H90" s="1">
        <f>H87*(Assumptions!H57/Assumptions!$C$9+Assumptions!H58+Assumptions!H62+Assumptions!H64+Assumptions!H65+Assumptions!H67-Assumptions!H63-Assumptions!H61-Assumptions!H66-Assumptions!H68)+H89*(Assumptions!H59-Assumptions!H60)/Assumptions!$C$9</f>
        <v>59.878490924585265</v>
      </c>
      <c r="I90" s="1">
        <f>I87*(Assumptions!I57/Assumptions!$C$9+Assumptions!I58+Assumptions!I62+Assumptions!I64+Assumptions!I65+Assumptions!I67-Assumptions!I63-Assumptions!I61-Assumptions!I66-Assumptions!I68)+I89*(Assumptions!I59-Assumptions!I60)/Assumptions!$C$9</f>
        <v>68.081708755132937</v>
      </c>
      <c r="J90" s="1">
        <f>J87*(Assumptions!J57/Assumptions!$C$9+Assumptions!J58+Assumptions!J62+Assumptions!J64+Assumptions!J65+Assumptions!J67-Assumptions!J63-Assumptions!J61-Assumptions!J66-Assumptions!J68)+J89*(Assumptions!J59-Assumptions!J60)/Assumptions!$C$9</f>
        <v>74.606487500634913</v>
      </c>
      <c r="K90" s="1">
        <f>K87*(Assumptions!K57/Assumptions!$C$9+Assumptions!K58+Assumptions!K62+Assumptions!K64+Assumptions!K65+Assumptions!K67-Assumptions!K63-Assumptions!K61-Assumptions!K66-Assumptions!K68)+K89*(Assumptions!K59-Assumptions!K60)/Assumptions!$C$9</f>
        <v>79.182052918975543</v>
      </c>
      <c r="L90" s="1">
        <f>L87*(Assumptions!L57/Assumptions!$C$9+Assumptions!L58+Assumptions!L62+Assumptions!L64+Assumptions!L65+Assumptions!L67-Assumptions!L63-Assumptions!L61-Assumptions!L66-Assumptions!L68)+L89*(Assumptions!L59-Assumptions!L60)/Assumptions!$C$9</f>
        <v>81.557514506544763</v>
      </c>
    </row>
    <row r="91" spans="1:12" hidden="1" outlineLevel="1">
      <c r="A91" s="1" t="s">
        <v>894</v>
      </c>
      <c r="C91" s="1">
        <f>C90</f>
        <v>12.503918920067079</v>
      </c>
      <c r="D91" s="1">
        <f>D90-C90</f>
        <v>8.3966310936847393</v>
      </c>
      <c r="E91" s="1">
        <f>E90-D90</f>
        <v>9.2482697571217969</v>
      </c>
      <c r="F91" s="1">
        <f>F90-E90</f>
        <v>9.7545643741662076</v>
      </c>
      <c r="G91" s="1">
        <f>G90-F90</f>
        <v>10.37681624042726</v>
      </c>
      <c r="H91" s="1">
        <f>H90-G90</f>
        <v>9.5982905391181816</v>
      </c>
      <c r="I91" s="1">
        <f>I90-H90</f>
        <v>8.203217830547672</v>
      </c>
      <c r="J91" s="1">
        <f>J90-I90</f>
        <v>6.5247787455019761</v>
      </c>
      <c r="K91" s="1">
        <f>K90-J90</f>
        <v>4.5755654183406307</v>
      </c>
      <c r="L91" s="1">
        <f>L90-K90</f>
        <v>2.3754615875692195</v>
      </c>
    </row>
    <row r="92" spans="1:12" hidden="1" outlineLevel="1">
      <c r="A92" s="1" t="s">
        <v>895</v>
      </c>
      <c r="C92" s="1">
        <f>C88*(1-Assumptions!C49)</f>
        <v>68.176349684150068</v>
      </c>
      <c r="D92" s="1">
        <f>D88*(1-Assumptions!D49)</f>
        <v>-2.316565248111135</v>
      </c>
      <c r="E92" s="1">
        <f>E88*(1-Assumptions!E49)</f>
        <v>-87.914003991504273</v>
      </c>
      <c r="F92" s="1">
        <f>F88*(1-Assumptions!F49)</f>
        <v>-189.71232125818202</v>
      </c>
      <c r="G92" s="1">
        <f>G88*(1-Assumptions!G49)</f>
        <v>-300.24823786631958</v>
      </c>
      <c r="H92" s="1">
        <f>H88*(1-Assumptions!H49)</f>
        <v>-391.75438177950969</v>
      </c>
      <c r="I92" s="1">
        <f>I88*(1-Assumptions!I49)</f>
        <v>-468.66195574195359</v>
      </c>
      <c r="J92" s="1">
        <f>J88*(1-Assumptions!J49)</f>
        <v>-528.21101833858563</v>
      </c>
      <c r="K92" s="1">
        <f>K88*(1-Assumptions!K49)</f>
        <v>-567.74575405107112</v>
      </c>
      <c r="L92" s="1">
        <f>L88*(1-Assumptions!L49)</f>
        <v>-584.77812667260343</v>
      </c>
    </row>
    <row r="93" spans="1:12" hidden="1" outlineLevel="1">
      <c r="A93" s="1" t="s">
        <v>896</v>
      </c>
      <c r="C93" s="1">
        <f>C87*Assumptions!C53</f>
        <v>-15.226945171629088</v>
      </c>
      <c r="D93" s="1">
        <f>D87*Assumptions!D53</f>
        <v>-33.691870745949444</v>
      </c>
      <c r="E93" s="1">
        <f>E87*Assumptions!E53</f>
        <v>-54.748463141692746</v>
      </c>
      <c r="F93" s="1">
        <f>F87*Assumptions!F53</f>
        <v>-77.794909704896412</v>
      </c>
      <c r="G93" s="1">
        <f>G87*Assumptions!G53</f>
        <v>-102.47462969408937</v>
      </c>
      <c r="H93" s="1">
        <f>H87*Assumptions!H53</f>
        <v>-124.52219332406611</v>
      </c>
      <c r="I93" s="1">
        <f>I87*Assumptions!I53</f>
        <v>-143.2708319245622</v>
      </c>
      <c r="J93" s="1">
        <f>J87*Assumptions!J53</f>
        <v>-158.06539561391074</v>
      </c>
      <c r="K93" s="1">
        <f>K87*Assumptions!K53</f>
        <v>-168.27850149235672</v>
      </c>
      <c r="L93" s="1">
        <f>L87*Assumptions!L53</f>
        <v>-173.32685653712744</v>
      </c>
    </row>
    <row r="94" spans="1:12" hidden="1" outlineLevel="1">
      <c r="A94" s="1" t="s">
        <v>897</v>
      </c>
      <c r="C94" s="1">
        <f>C87*Assumptions!C55</f>
        <v>-2.7774388235233296</v>
      </c>
      <c r="D94" s="1">
        <f>D87*Assumptions!D55</f>
        <v>-6.1454946341622874</v>
      </c>
      <c r="E94" s="1">
        <f>E87*Assumptions!E55</f>
        <v>-9.986277966068549</v>
      </c>
      <c r="F94" s="1">
        <f>F87*Assumptions!F55</f>
        <v>-14.190016451195662</v>
      </c>
      <c r="G94" s="1">
        <f>G87*Assumptions!G55</f>
        <v>-18.691668731351321</v>
      </c>
      <c r="H94" s="1">
        <f>H87*Assumptions!H55</f>
        <v>-22.713208081482634</v>
      </c>
      <c r="I94" s="1">
        <f>I87*Assumptions!I55</f>
        <v>-26.13301396836853</v>
      </c>
      <c r="J94" s="1">
        <f>J87*Assumptions!J55</f>
        <v>-28.831585159420435</v>
      </c>
      <c r="K94" s="1">
        <f>K87*Assumptions!K55</f>
        <v>-30.694485199830538</v>
      </c>
      <c r="L94" s="1">
        <f>L87*Assumptions!L55</f>
        <v>-31.615319755825453</v>
      </c>
    </row>
    <row r="95" spans="1:12" hidden="1" outlineLevel="1">
      <c r="A95" s="1" t="s">
        <v>898</v>
      </c>
      <c r="C95" s="1">
        <f>Assumptions!C54</f>
        <v>2.9000000000000001E-2</v>
      </c>
      <c r="D95" s="1">
        <f>Assumptions!D54</f>
        <v>0.03</v>
      </c>
      <c r="E95" s="1">
        <f>Assumptions!E54</f>
        <v>0.03</v>
      </c>
      <c r="F95" s="1">
        <f>Assumptions!F54</f>
        <v>2.9000000000000001E-2</v>
      </c>
      <c r="G95" s="1">
        <f>Assumptions!G54</f>
        <v>2.8000000000000001E-2</v>
      </c>
      <c r="H95" s="1">
        <f>Assumptions!$G$54+($L95-Assumptions!$G$54)*H$33</f>
        <v>3.0319911532296871E-2</v>
      </c>
      <c r="I95" s="1">
        <f>Assumptions!$G$54+($L95-Assumptions!$G$54)*I$33</f>
        <v>3.2639823064593745E-2</v>
      </c>
      <c r="J95" s="1">
        <f>Assumptions!$G$54+($L95-Assumptions!$G$54)*J$33</f>
        <v>3.495973459689062E-2</v>
      </c>
      <c r="K95" s="1">
        <f>Assumptions!$G$54+($L95-Assumptions!$G$54)*K$33</f>
        <v>3.7279646129187487E-2</v>
      </c>
      <c r="L95" s="1">
        <f>((DCF!$L$9+L92)*DCF!$C$22/DCF!$C$24+DCF!$L$10+L93-(DCF!$L$12+L91)-(-Projections!$L$122+L94))/(Projections!$L$20+L87)</f>
        <v>3.9599557661484361E-2</v>
      </c>
    </row>
    <row r="96" spans="1:12" hidden="1" outlineLevel="1">
      <c r="A96" s="1" t="s">
        <v>899</v>
      </c>
      <c r="C96" s="1">
        <f>DCF!C13+C92+C93-((Projections!C20+C87)*C95+Projections!C121)-C94-C91</f>
        <v>9481.3441057090949</v>
      </c>
      <c r="D96" s="1">
        <f>DCF!D13+D92+D93-((Projections!D20+D87)*D95+Projections!D121)-D94-D91</f>
        <v>11379.765330096427</v>
      </c>
      <c r="E96" s="1">
        <f>DCF!E13+E92+E93-((Projections!E20+E87)*E95+Projections!E121)-E94-E91</f>
        <v>12252.211099987897</v>
      </c>
      <c r="F96" s="1">
        <f>DCF!F13+F92+F93-((Projections!F20+F87)*F95+Projections!F121)-F94-F91</f>
        <v>13157.07574112906</v>
      </c>
      <c r="G96" s="1">
        <f>DCF!G13+G92+G93-((Projections!G20+G87)*G95+Projections!G121)-G94-G91</f>
        <v>13933.060812134025</v>
      </c>
      <c r="H96" s="1">
        <f>DCF!H13+H92+H93-((Projections!H20+H87)*H95+Projections!H121)-H94-H91</f>
        <v>14092.424026571311</v>
      </c>
      <c r="I96" s="1">
        <f>DCF!I13+I92+I93-((Projections!I20+I87)*I95+Projections!I121)-I94-I91</f>
        <v>14228.108294232439</v>
      </c>
      <c r="J96" s="1">
        <f>DCF!J13+J92+J93-((Projections!J20+J87)*J95+Projections!J121)-J94-J91</f>
        <v>14334.148923078357</v>
      </c>
      <c r="K96" s="1">
        <f>DCF!K13+K92+K93-((Projections!K20+K87)*K95+Projections!K121)-K94-K91</f>
        <v>14409.02893125515</v>
      </c>
      <c r="L96" s="1">
        <f>(DCF!$L$9+L92)*(1-DCF!$C$22/DCF!$C$24)</f>
        <v>14451.447436006732</v>
      </c>
    </row>
    <row r="97" spans="1:12" hidden="1" outlineLevel="1">
      <c r="A97" s="1" t="s">
        <v>30</v>
      </c>
      <c r="B97" s="1">
        <f>(SUMPRODUCT(C96:K96,DCF!$C$14:$K$14,DCF!$C$17:$K$17)+L96*DCF!$L$17*(1+(1+DCF!$C$22)/(DCF!$C$21-DCF!$C$22))+DCF!$C$44)/DCF!$C$46</f>
        <v>146.15417420794822</v>
      </c>
    </row>
    <row r="98" spans="1:12" hidden="1" outlineLevel="1"/>
    <row r="99" spans="1:12" hidden="1" outlineLevel="1">
      <c r="A99" s="1" t="s">
        <v>903</v>
      </c>
      <c r="B99" s="35">
        <f>$B$17-Assumptions!$C$28</f>
        <v>-2.0000000000000018E-2</v>
      </c>
      <c r="C99" s="35">
        <f>$G$16-Assumptions!$C$38</f>
        <v>1.0000000000000009E-2</v>
      </c>
    </row>
    <row r="100" spans="1:12" hidden="1" outlineLevel="1">
      <c r="A100" s="1" t="s">
        <v>887</v>
      </c>
      <c r="C100" s="1">
        <f>Projections!B9*(1+Assumptions!C21+$B$99*C$32)</f>
        <v>14301.782857142862</v>
      </c>
      <c r="D100" s="1">
        <f>C100*(1+Assumptions!D21+$B$99*D$32)</f>
        <v>15159.889828571435</v>
      </c>
      <c r="E100" s="1">
        <f>D100*(1+Assumptions!E21+$B$99*E$32)</f>
        <v>15917.884320000006</v>
      </c>
      <c r="F100" s="1">
        <f>E100*(1+Assumptions!F21+$B$99*F$32)</f>
        <v>16554.599692800006</v>
      </c>
      <c r="G100" s="1">
        <f>F100*(1+Assumptions!G21+$B$99*G$32)</f>
        <v>17051.237683584008</v>
      </c>
      <c r="H100" s="1">
        <f>G100*(1+Assumptions!H21+$B$99*H$32)</f>
        <v>17562.774814091528</v>
      </c>
      <c r="I100" s="1">
        <f>H100*(1+Assumptions!I21+$B$99*I$32)</f>
        <v>18089.658058514273</v>
      </c>
      <c r="J100" s="1">
        <f>I100*(1+Assumptions!J21+$B$99*J$32)</f>
        <v>18632.347800269701</v>
      </c>
      <c r="K100" s="1">
        <f>J100*(1+Assumptions!K21+$B$99*K$32)</f>
        <v>19191.318234277791</v>
      </c>
      <c r="L100" s="1">
        <f>K100*(1+Assumptions!L21+$B$99*L$32)</f>
        <v>19767.057781306125</v>
      </c>
    </row>
    <row r="101" spans="1:12" hidden="1" outlineLevel="1">
      <c r="A101" s="1" t="s">
        <v>888</v>
      </c>
      <c r="C101" s="1">
        <f>Projections!B14*(1+Assumptions!C28+$B$99*C$32)</f>
        <v>19271.160000000003</v>
      </c>
      <c r="D101" s="1">
        <f>C101*(1+Assumptions!D28+$B$99*D$32)</f>
        <v>21198.276000000005</v>
      </c>
      <c r="E101" s="1">
        <f>D101*(1+Assumptions!E28+$B$99*E$32)</f>
        <v>22682.155320000005</v>
      </c>
      <c r="F101" s="1">
        <f>E101*(1+Assumptions!F28+$B$99*F$32)</f>
        <v>23816.263086000006</v>
      </c>
      <c r="G101" s="1">
        <f>F101*(1+Assumptions!G28+$B$99*G$32)</f>
        <v>24768.913609440009</v>
      </c>
      <c r="H101" s="1">
        <f>G101*(1+Assumptions!H28+$B$99*H$32)</f>
        <v>25710.13232659873</v>
      </c>
      <c r="I101" s="1">
        <f>H101*(1+Assumptions!I28+$B$99*I$32)</f>
        <v>26635.697090356287</v>
      </c>
      <c r="J101" s="1">
        <f>I101*(1+Assumptions!J28+$B$99*J$32)</f>
        <v>27541.310791428401</v>
      </c>
      <c r="K101" s="1">
        <f>J101*(1+Assumptions!K28+$B$99*K$32)</f>
        <v>28422.632736754109</v>
      </c>
      <c r="L101" s="1">
        <f>K101*(1+Assumptions!L28+$B$99*L$32)</f>
        <v>29275.311718856734</v>
      </c>
    </row>
    <row r="102" spans="1:12" hidden="1" outlineLevel="1">
      <c r="A102" s="1" t="s">
        <v>889</v>
      </c>
      <c r="C102" s="1">
        <f>(C100-Projections!C9)+(C101-Projections!C14)</f>
        <v>-604.45582417582409</v>
      </c>
      <c r="D102" s="1">
        <f>(D100-Projections!D9)+(D101-Projections!D14)</f>
        <v>-1337.448008791207</v>
      </c>
      <c r="E102" s="1">
        <f>(E100-Projections!E9)+(E101-Projections!E14)</f>
        <v>-2173.3201924395635</v>
      </c>
      <c r="F102" s="1">
        <f>(F100-Projections!F9)+(F101-Projections!F14)</f>
        <v>-3088.1825430074787</v>
      </c>
      <c r="G102" s="1">
        <f>(G100-Projections!G9)+(G101-Projections!G14)</f>
        <v>-4067.8800672548969</v>
      </c>
      <c r="H102" s="1">
        <f>(H100-Projections!H9)+(H101-Projections!H14)</f>
        <v>-4943.0903011406153</v>
      </c>
      <c r="I102" s="1">
        <f>(I100-Projections!I9)+(I101-Projections!I14)</f>
        <v>-5687.344888630214</v>
      </c>
      <c r="J102" s="1">
        <f>(J100-Projections!J9)+(J101-Projections!J14)</f>
        <v>-6274.6366984693195</v>
      </c>
      <c r="K102" s="1">
        <f>(K100-Projections!K9)+(K101-Projections!K14)</f>
        <v>-6680.0608502980976</v>
      </c>
      <c r="L102" s="1">
        <f>(L100-Projections!L9)+(L101-Projections!L14)</f>
        <v>-6880.4626758070408</v>
      </c>
    </row>
    <row r="103" spans="1:12" hidden="1" outlineLevel="1">
      <c r="A103" s="1" t="s">
        <v>890</v>
      </c>
      <c r="C103" s="1">
        <f>C102*(1+Assumptions!C32)</f>
        <v>-587.86624097684194</v>
      </c>
      <c r="D103" s="1">
        <f>D102*(1+Assumptions!D32)</f>
        <v>-1300.7410996528797</v>
      </c>
      <c r="E103" s="1">
        <f>E102*(1+Assumptions!E32)</f>
        <v>-2113.6723659012646</v>
      </c>
      <c r="F103" s="1">
        <f>F102*(1+Assumptions!F32)</f>
        <v>-3003.4258756352665</v>
      </c>
      <c r="G103" s="1">
        <f>G102*(1+Assumptions!G32)</f>
        <v>-3956.2351262681486</v>
      </c>
      <c r="H103" s="1">
        <f>H102*(1+Assumptions!H32)</f>
        <v>-4807.4247908898606</v>
      </c>
      <c r="I103" s="1">
        <f>I102*(1+Assumptions!I32)</f>
        <v>-5531.2529503320202</v>
      </c>
      <c r="J103" s="1">
        <f>J102*(1+Assumptions!J32)</f>
        <v>-6102.4262516685549</v>
      </c>
      <c r="K103" s="1">
        <f>K102*(1+Assumptions!K32)</f>
        <v>-6496.72334105764</v>
      </c>
      <c r="L103" s="1">
        <f>L102*(1+Assumptions!L32)</f>
        <v>-6691.6250412893696</v>
      </c>
    </row>
    <row r="104" spans="1:12" hidden="1" outlineLevel="1">
      <c r="A104" s="1" t="s">
        <v>891</v>
      </c>
      <c r="C104" s="1">
        <f>(C100-Projections!C9)*Assumptions!C36+(C101-Projections!C14)*Assumptions!C37+C103*(Assumptions!C39+Assumptions!C40)+Projections!C17*$C$99</f>
        <v>239.10350485597107</v>
      </c>
      <c r="D104" s="1">
        <f>(D100-Projections!D9)*Assumptions!D36+(D101-Projections!D14)*Assumptions!D37+D103*(Assumptions!D39+Assumptions!D40)+Projections!D17*$C$99</f>
        <v>165.17156114398543</v>
      </c>
      <c r="E104" s="1">
        <f>(E100-Projections!E9)*Assumptions!E36+(E101-Projections!E14)*Assumptions!E37+E103*(Assumptions!E39+Assumptions!E40)+Projections!E17*$C$99</f>
        <v>69.498739661379261</v>
      </c>
      <c r="F104" s="1">
        <f>(F100-Projections!F9)*Assumptions!F36+(F101-Projections!F14)*Assumptions!F37+F103*(Assumptions!F39+Assumptions!F40)+Projections!F17*$C$99</f>
        <v>-47.366352412552203</v>
      </c>
      <c r="G104" s="1">
        <f>(G100-Projections!G9)*Assumptions!G36+(G101-Projections!G14)*Assumptions!G37+G103*(Assumptions!G39+Assumptions!G40)+Projections!G17*$C$99</f>
        <v>-176.45159275196204</v>
      </c>
      <c r="H104" s="1">
        <f>(H100-Projections!H9)*Assumptions!H36+(H101-Projections!H14)*Assumptions!H37+H103*(Assumptions!H39+Assumptions!H40)+Projections!H17*$C$99</f>
        <v>-282.11549590805572</v>
      </c>
      <c r="I104" s="1">
        <f>(I100-Projections!I9)*Assumptions!I36+(I101-Projections!I14)*Assumptions!I37+I103*(Assumptions!I39+Assumptions!I40)+Projections!I17*$C$99</f>
        <v>-369.86592689430239</v>
      </c>
      <c r="J104" s="1">
        <f>(J100-Projections!J9)*Assumptions!J36+(J101-Projections!J14)*Assumptions!J37+J103*(Assumptions!J39+Assumptions!J40)+Projections!J17*$C$99</f>
        <v>-436.32674753497474</v>
      </c>
      <c r="K104" s="1">
        <f>(K100-Projections!K9)*Assumptions!K36+(K101-Projections!K14)*Assumptions!K37+K103*(Assumptions!K39+Assumptions!K40)+Projections!K17*$C$99</f>
        <v>-478.25080848239486</v>
      </c>
      <c r="L104" s="1">
        <f>(L100-Projections!L9)*Assumptions!L36+(L101-Projections!L14)*Assumptions!L37+L103*(Assumptions!L39+Assumptions!L40)+Projections!L17*$C$99</f>
        <v>-492.59833273686684</v>
      </c>
    </row>
    <row r="105" spans="1:12" hidden="1" outlineLevel="1">
      <c r="A105" s="1" t="s">
        <v>892</v>
      </c>
      <c r="C105" s="1">
        <f>C103*(1-Assumptions!C44-Assumptions!C45+Assumptions!C46)-C104</f>
        <v>-770.53458669903614</v>
      </c>
      <c r="D105" s="1">
        <f>D103*(1-Assumptions!D44-Assumptions!D45+Assumptions!D46)-D104</f>
        <v>-1341.0415152301885</v>
      </c>
      <c r="E105" s="1">
        <f>E103*(1-Assumptions!E44-Assumptions!E45+Assumptions!E46)-E104</f>
        <v>-1980.2585584361223</v>
      </c>
      <c r="F105" s="1">
        <f>F103*(1-Assumptions!F44-Assumptions!F45+Assumptions!F46)-F104</f>
        <v>-2667.7306391617285</v>
      </c>
      <c r="G105" s="1">
        <f>G103*(1-Assumptions!G44-Assumptions!G45+Assumptions!G46)-G104</f>
        <v>-3399.9849613944443</v>
      </c>
      <c r="H105" s="1">
        <f>H103*(1-Assumptions!H44-Assumptions!H45+Assumptions!H46)-H104</f>
        <v>-4063.7965150563778</v>
      </c>
      <c r="I105" s="1">
        <f>I103*(1-Assumptions!I44-Assumptions!I45+Assumptions!I46)-I104</f>
        <v>-4630.386740205844</v>
      </c>
      <c r="J105" s="1">
        <f>J103*(1-Assumptions!J44-Assumptions!J45+Assumptions!J46)-J104</f>
        <v>-5080.2665839733982</v>
      </c>
      <c r="K105" s="1">
        <f>K103*(1-Assumptions!K44-Assumptions!K45+Assumptions!K46)-K104</f>
        <v>-5394.7870918337112</v>
      </c>
      <c r="L105" s="1">
        <f>L103*(1-Assumptions!L44-Assumptions!L45+Assumptions!L46)-L104</f>
        <v>-5556.6307045887224</v>
      </c>
    </row>
    <row r="106" spans="1:12" hidden="1" outlineLevel="1">
      <c r="A106" s="1" t="s">
        <v>893</v>
      </c>
      <c r="C106" s="1">
        <f>C103*(Assumptions!C57/Assumptions!$C$9+Assumptions!C58+Assumptions!C62+Assumptions!C64+Assumptions!C65+Assumptions!C67-Assumptions!C63-Assumptions!C61-Assumptions!C66-Assumptions!C68)+C105*(Assumptions!C59-Assumptions!C60)/Assumptions!$C$9</f>
        <v>18.265058312814702</v>
      </c>
      <c r="D106" s="1">
        <f>D103*(Assumptions!D57/Assumptions!$C$9+Assumptions!D58+Assumptions!D62+Assumptions!D64+Assumptions!D65+Assumptions!D67-Assumptions!D63-Assumptions!D61-Assumptions!D66-Assumptions!D68)+D105*(Assumptions!D59-Assumptions!D60)/Assumptions!$C$9</f>
        <v>27.064969163991762</v>
      </c>
      <c r="E106" s="1">
        <f>E103*(Assumptions!E57/Assumptions!$C$9+Assumptions!E58+Assumptions!E62+Assumptions!E64+Assumptions!E65+Assumptions!E67-Assumptions!E63-Assumptions!E61-Assumptions!E66-Assumptions!E68)+E105*(Assumptions!E59-Assumptions!E60)/Assumptions!$C$9</f>
        <v>36.683104070127953</v>
      </c>
      <c r="F106" s="1">
        <f>F103*(Assumptions!F57/Assumptions!$C$9+Assumptions!F58+Assumptions!F62+Assumptions!F64+Assumptions!F65+Assumptions!F67-Assumptions!F63-Assumptions!F61-Assumptions!F66-Assumptions!F68)+F105*(Assumptions!F59-Assumptions!F60)/Assumptions!$C$9</f>
        <v>46.764382659256881</v>
      </c>
      <c r="G106" s="1">
        <f>G103*(Assumptions!G57/Assumptions!$C$9+Assumptions!G58+Assumptions!G62+Assumptions!G64+Assumptions!G65+Assumptions!G67-Assumptions!G63-Assumptions!G61-Assumptions!G66-Assumptions!G68)+G105*(Assumptions!G59-Assumptions!G60)/Assumptions!$C$9</f>
        <v>57.415638840252839</v>
      </c>
      <c r="H106" s="1">
        <f>H103*(Assumptions!H57/Assumptions!$C$9+Assumptions!H58+Assumptions!H62+Assumptions!H64+Assumptions!H65+Assumptions!H67-Assumptions!H63-Assumptions!H61-Assumptions!H66-Assumptions!H68)+H105*(Assumptions!H59-Assumptions!H60)/Assumptions!$C$9</f>
        <v>67.285076040652854</v>
      </c>
      <c r="I106" s="1">
        <f>I103*(Assumptions!I57/Assumptions!$C$9+Assumptions!I58+Assumptions!I62+Assumptions!I64+Assumptions!I65+Assumptions!I67-Assumptions!I63-Assumptions!I61-Assumptions!I66-Assumptions!I68)+I105*(Assumptions!I59-Assumptions!I60)/Assumptions!$C$9</f>
        <v>75.754930935378994</v>
      </c>
      <c r="J106" s="1">
        <f>J103*(Assumptions!J57/Assumptions!$C$9+Assumptions!J58+Assumptions!J62+Assumptions!J64+Assumptions!J65+Assumptions!J67-Assumptions!J63-Assumptions!J61-Assumptions!J66-Assumptions!J68)+J105*(Assumptions!J59-Assumptions!J60)/Assumptions!$C$9</f>
        <v>82.54059923500931</v>
      </c>
      <c r="K106" s="1">
        <f>K103*(Assumptions!K57/Assumptions!$C$9+Assumptions!K58+Assumptions!K62+Assumptions!K64+Assumptions!K65+Assumptions!K67-Assumptions!K63-Assumptions!K61-Assumptions!K66-Assumptions!K68)+K105*(Assumptions!K59-Assumptions!K60)/Assumptions!$C$9</f>
        <v>87.370056228849919</v>
      </c>
      <c r="L106" s="1">
        <f>L103*(Assumptions!L57/Assumptions!$C$9+Assumptions!L58+Assumptions!L62+Assumptions!L64+Assumptions!L65+Assumptions!L67-Assumptions!L63-Assumptions!L61-Assumptions!L66-Assumptions!L68)+L105*(Assumptions!L59-Assumptions!L60)/Assumptions!$C$9</f>
        <v>89.991157915715419</v>
      </c>
    </row>
    <row r="107" spans="1:12" hidden="1" outlineLevel="1">
      <c r="A107" s="1" t="s">
        <v>894</v>
      </c>
      <c r="C107" s="1">
        <f>C106</f>
        <v>18.265058312814702</v>
      </c>
      <c r="D107" s="1">
        <f>D106-C106</f>
        <v>8.7999108511770601</v>
      </c>
      <c r="E107" s="1">
        <f>E106-D106</f>
        <v>9.6181349061361914</v>
      </c>
      <c r="F107" s="1">
        <f>F106-E106</f>
        <v>10.081278589128928</v>
      </c>
      <c r="G107" s="1">
        <f>G106-F106</f>
        <v>10.651256180995958</v>
      </c>
      <c r="H107" s="1">
        <f>H106-G106</f>
        <v>9.8694372004000144</v>
      </c>
      <c r="I107" s="1">
        <f>I106-H106</f>
        <v>8.4698548947261401</v>
      </c>
      <c r="J107" s="1">
        <f>J106-I106</f>
        <v>6.7856682996303164</v>
      </c>
      <c r="K107" s="1">
        <f>K106-J106</f>
        <v>4.8294569938406084</v>
      </c>
      <c r="L107" s="1">
        <f>L106-K106</f>
        <v>2.6211016868655008</v>
      </c>
    </row>
    <row r="108" spans="1:12" hidden="1" outlineLevel="1">
      <c r="A108" s="1" t="s">
        <v>895</v>
      </c>
      <c r="C108" s="1">
        <f>C104*(1-Assumptions!C49)</f>
        <v>198.64327146390031</v>
      </c>
      <c r="D108" s="1">
        <f>D104*(1-Assumptions!D49)</f>
        <v>133.68903470068793</v>
      </c>
      <c r="E108" s="1">
        <f>E104*(1-Assumptions!E49)</f>
        <v>56.251931954222741</v>
      </c>
      <c r="F108" s="1">
        <f>F104*(1-Assumptions!F49)</f>
        <v>-38.338088515168657</v>
      </c>
      <c r="G108" s="1">
        <f>G104*(1-Assumptions!G49)</f>
        <v>-142.81903581358566</v>
      </c>
      <c r="H108" s="1">
        <f>H104*(1-Assumptions!H49)</f>
        <v>-228.34287004877189</v>
      </c>
      <c r="I108" s="1">
        <f>I104*(1-Assumptions!I49)</f>
        <v>-299.36762958890921</v>
      </c>
      <c r="J108" s="1">
        <f>J104*(1-Assumptions!J49)</f>
        <v>-353.16068509633777</v>
      </c>
      <c r="K108" s="1">
        <f>K104*(1-Assumptions!K49)</f>
        <v>-387.09381014507142</v>
      </c>
      <c r="L108" s="1">
        <f>L104*(1-Assumptions!L49)</f>
        <v>-398.70662444942366</v>
      </c>
    </row>
    <row r="109" spans="1:12" hidden="1" outlineLevel="1">
      <c r="A109" s="1" t="s">
        <v>896</v>
      </c>
      <c r="C109" s="1">
        <f>C103*Assumptions!C53</f>
        <v>-15.226945171629088</v>
      </c>
      <c r="D109" s="1">
        <f>D103*Assumptions!D53</f>
        <v>-33.691870745949444</v>
      </c>
      <c r="E109" s="1">
        <f>E103*Assumptions!E53</f>
        <v>-54.748463141692746</v>
      </c>
      <c r="F109" s="1">
        <f>F103*Assumptions!F53</f>
        <v>-77.794909704896412</v>
      </c>
      <c r="G109" s="1">
        <f>G103*Assumptions!G53</f>
        <v>-102.47462969408937</v>
      </c>
      <c r="H109" s="1">
        <f>H103*Assumptions!H53</f>
        <v>-124.52219332406611</v>
      </c>
      <c r="I109" s="1">
        <f>I103*Assumptions!I53</f>
        <v>-143.2708319245622</v>
      </c>
      <c r="J109" s="1">
        <f>J103*Assumptions!J53</f>
        <v>-158.06539561391074</v>
      </c>
      <c r="K109" s="1">
        <f>K103*Assumptions!K53</f>
        <v>-168.27850149235672</v>
      </c>
      <c r="L109" s="1">
        <f>L103*Assumptions!L53</f>
        <v>-173.32685653712744</v>
      </c>
    </row>
    <row r="110" spans="1:12" hidden="1" outlineLevel="1">
      <c r="A110" s="1" t="s">
        <v>897</v>
      </c>
      <c r="C110" s="1">
        <f>C103*Assumptions!C55</f>
        <v>-2.7774388235233296</v>
      </c>
      <c r="D110" s="1">
        <f>D103*Assumptions!D55</f>
        <v>-6.1454946341622874</v>
      </c>
      <c r="E110" s="1">
        <f>E103*Assumptions!E55</f>
        <v>-9.986277966068549</v>
      </c>
      <c r="F110" s="1">
        <f>F103*Assumptions!F55</f>
        <v>-14.190016451195662</v>
      </c>
      <c r="G110" s="1">
        <f>G103*Assumptions!G55</f>
        <v>-18.691668731351321</v>
      </c>
      <c r="H110" s="1">
        <f>H103*Assumptions!H55</f>
        <v>-22.713208081482634</v>
      </c>
      <c r="I110" s="1">
        <f>I103*Assumptions!I55</f>
        <v>-26.13301396836853</v>
      </c>
      <c r="J110" s="1">
        <f>J103*Assumptions!J55</f>
        <v>-28.831585159420435</v>
      </c>
      <c r="K110" s="1">
        <f>K103*Assumptions!K55</f>
        <v>-30.694485199830538</v>
      </c>
      <c r="L110" s="1">
        <f>L103*Assumptions!L55</f>
        <v>-31.615319755825453</v>
      </c>
    </row>
    <row r="111" spans="1:12" hidden="1" outlineLevel="1">
      <c r="A111" s="1" t="s">
        <v>898</v>
      </c>
      <c r="C111" s="1">
        <f>Assumptions!C54</f>
        <v>2.9000000000000001E-2</v>
      </c>
      <c r="D111" s="1">
        <f>Assumptions!D54</f>
        <v>0.03</v>
      </c>
      <c r="E111" s="1">
        <f>Assumptions!E54</f>
        <v>0.03</v>
      </c>
      <c r="F111" s="1">
        <f>Assumptions!F54</f>
        <v>2.9000000000000001E-2</v>
      </c>
      <c r="G111" s="1">
        <f>Assumptions!G54</f>
        <v>2.8000000000000001E-2</v>
      </c>
      <c r="H111" s="1">
        <f>Assumptions!$G$54+($L111-Assumptions!$G$54)*H$33</f>
        <v>3.0359330858286234E-2</v>
      </c>
      <c r="I111" s="1">
        <f>Assumptions!$G$54+($L111-Assumptions!$G$54)*I$33</f>
        <v>3.2718661716572471E-2</v>
      </c>
      <c r="J111" s="1">
        <f>Assumptions!$G$54+($L111-Assumptions!$G$54)*J$33</f>
        <v>3.5077992574858705E-2</v>
      </c>
      <c r="K111" s="1">
        <f>Assumptions!$G$54+($L111-Assumptions!$G$54)*K$33</f>
        <v>3.7437323433144938E-2</v>
      </c>
      <c r="L111" s="1">
        <f>((DCF!$L$9+L108)*DCF!$C$22/DCF!$C$24+DCF!$L$10+L109-(DCF!$L$12+L107)-(-Projections!$L$122+L110))/(Projections!$L$20+L103)</f>
        <v>3.9796654291431172E-2</v>
      </c>
    </row>
    <row r="112" spans="1:12" hidden="1" outlineLevel="1">
      <c r="A112" s="1" t="s">
        <v>899</v>
      </c>
      <c r="C112" s="1">
        <f>DCF!C13+C108+C109-((Projections!C20+C103)*C111+Projections!C121)-C110-C107</f>
        <v>9606.0498880960968</v>
      </c>
      <c r="D112" s="1">
        <f>DCF!D13+D108+D109-((Projections!D20+D103)*D111+Projections!D121)-D110-D107</f>
        <v>11515.367650287733</v>
      </c>
      <c r="E112" s="1">
        <f>DCF!E13+E108+E109-((Projections!E20+E103)*E111+Projections!E121)-E110-E107</f>
        <v>12396.007170784609</v>
      </c>
      <c r="F112" s="1">
        <f>DCF!F13+F108+F109-((Projections!F20+F103)*F111+Projections!F121)-F110-F107</f>
        <v>13308.123259657112</v>
      </c>
      <c r="G112" s="1">
        <f>DCF!G13+G108+G109-((Projections!G20+G103)*G111+Projections!G121)-G110-G107</f>
        <v>14090.215574246187</v>
      </c>
      <c r="H112" s="1">
        <f>DCF!H13+H108+H109-((Projections!H20+H103)*H111+Projections!H121)-H110-H107</f>
        <v>14250.669559435315</v>
      </c>
      <c r="I112" s="1">
        <f>DCF!I13+I108+I109-((Projections!I20+I103)*I111+Projections!I121)-I110-I107</f>
        <v>14386.99657336911</v>
      </c>
      <c r="J112" s="1">
        <f>DCF!J13+J108+J109-((Projections!J20+J103)*J111+Projections!J121)-J110-J107</f>
        <v>14493.214840011069</v>
      </c>
      <c r="K112" s="1">
        <f>DCF!K13+K108+K109-((Projections!K20+K103)*K111+Projections!K121)-K110-K107</f>
        <v>14567.79323345716</v>
      </c>
      <c r="L112" s="1">
        <f>(DCF!$L$9+L108)*(1-DCF!$C$22/DCF!$C$24)</f>
        <v>14609.419844840186</v>
      </c>
    </row>
    <row r="113" spans="1:12" hidden="1" outlineLevel="1">
      <c r="A113" s="1" t="s">
        <v>30</v>
      </c>
      <c r="B113" s="1">
        <f>(SUMPRODUCT(C112:K112,DCF!$C$14:$K$14,DCF!$C$17:$K$17)+L112*DCF!$L$17*(1+(1+DCF!$C$22)/(DCF!$C$21-DCF!$C$22))+DCF!$C$44)/DCF!$C$46</f>
        <v>148.01943717611948</v>
      </c>
    </row>
    <row r="114" spans="1:12" hidden="1" outlineLevel="1"/>
    <row r="115" spans="1:12" hidden="1" outlineLevel="1">
      <c r="A115" s="1" t="s">
        <v>904</v>
      </c>
      <c r="B115" s="35">
        <f>$B$18-Assumptions!$C$28</f>
        <v>-1.0000000000000009E-2</v>
      </c>
      <c r="C115" s="35">
        <f>$C$16-Assumptions!$C$38</f>
        <v>-1.0000000000000009E-2</v>
      </c>
    </row>
    <row r="116" spans="1:12" hidden="1" outlineLevel="1">
      <c r="A116" s="1" t="s">
        <v>887</v>
      </c>
      <c r="C116" s="1">
        <f>Projections!B9*(1+Assumptions!C21+$B$115*C$32)</f>
        <v>14439.300000000005</v>
      </c>
      <c r="D116" s="1">
        <f>C116*(1+Assumptions!D21+$B$115*D$32)</f>
        <v>15450.051000000007</v>
      </c>
      <c r="E116" s="1">
        <f>D116*(1+Assumptions!E21+$B$115*E$32)</f>
        <v>16377.054060000008</v>
      </c>
      <c r="F116" s="1">
        <f>E116*(1+Assumptions!F21+$B$115*F$32)</f>
        <v>17195.90676300001</v>
      </c>
      <c r="G116" s="1">
        <f>F116*(1+Assumptions!G21+$B$115*G$32)</f>
        <v>17883.743033520012</v>
      </c>
      <c r="H116" s="1">
        <f>G116*(1+Assumptions!H21+$B$115*H$32)</f>
        <v>18563.325268793771</v>
      </c>
      <c r="I116" s="1">
        <f>H116*(1+Assumptions!I21+$B$115*I$32)</f>
        <v>19231.604978470346</v>
      </c>
      <c r="J116" s="1">
        <f>I116*(1+Assumptions!J21+$B$115*J$32)</f>
        <v>19885.479547738338</v>
      </c>
      <c r="K116" s="1">
        <f>J116*(1+Assumptions!K21+$B$115*K$32)</f>
        <v>20521.814893265964</v>
      </c>
      <c r="L116" s="1">
        <f>K116*(1+Assumptions!L21+$B$115*L$32)</f>
        <v>21137.469340063944</v>
      </c>
    </row>
    <row r="117" spans="1:12" hidden="1" outlineLevel="1">
      <c r="A117" s="1" t="s">
        <v>888</v>
      </c>
      <c r="C117" s="1">
        <f>Projections!B14*(1+Assumptions!C28+$B$115*C$32)</f>
        <v>19435.870769230773</v>
      </c>
      <c r="D117" s="1">
        <f>C117*(1+Assumptions!D28+$B$115*D$32)</f>
        <v>21573.816553846158</v>
      </c>
      <c r="E117" s="1">
        <f>D117*(1+Assumptions!E28+$B$115*E$32)</f>
        <v>23299.721878153854</v>
      </c>
      <c r="F117" s="1">
        <f>E117*(1+Assumptions!F28+$B$115*F$32)</f>
        <v>24697.705190843088</v>
      </c>
      <c r="G117" s="1">
        <f>F117*(1+Assumptions!G28+$B$115*G$32)</f>
        <v>25932.590450385243</v>
      </c>
      <c r="H117" s="1">
        <f>G117*(1+Assumptions!H28+$B$115*H$32)</f>
        <v>27125.489611102967</v>
      </c>
      <c r="I117" s="1">
        <f>H117*(1+Assumptions!I28+$B$115*I$32)</f>
        <v>28264.760174769293</v>
      </c>
      <c r="J117" s="1">
        <f>I117*(1+Assumptions!J28+$B$115*J$32)</f>
        <v>29338.821061410526</v>
      </c>
      <c r="K117" s="1">
        <f>J117*(1+Assumptions!K28+$B$115*K$32)</f>
        <v>30336.340977498487</v>
      </c>
      <c r="L117" s="1">
        <f>K117*(1+Assumptions!L28+$B$115*L$32)</f>
        <v>31246.431206823443</v>
      </c>
    </row>
    <row r="118" spans="1:12" hidden="1" outlineLevel="1">
      <c r="A118" s="1" t="s">
        <v>889</v>
      </c>
      <c r="C118" s="1">
        <f>(C116-Projections!C9)+(C117-Projections!C14)</f>
        <v>-302.22791208791205</v>
      </c>
      <c r="D118" s="1">
        <f>(D116-Projections!D9)+(D117-Projections!D14)</f>
        <v>-671.74628351648244</v>
      </c>
      <c r="E118" s="1">
        <f>(E116-Projections!E9)+(E117-Projections!E14)</f>
        <v>-1096.5838942857135</v>
      </c>
      <c r="F118" s="1">
        <f>(F116-Projections!F9)+(F117-Projections!F14)</f>
        <v>-1565.4333679643933</v>
      </c>
      <c r="G118" s="1">
        <f>(G116-Projections!G9)+(G117-Projections!G14)</f>
        <v>-2071.6978763736588</v>
      </c>
      <c r="H118" s="1">
        <f>(H116-Projections!H9)+(H117-Projections!H14)</f>
        <v>-2527.1825619341362</v>
      </c>
      <c r="I118" s="1">
        <f>(I116-Projections!I9)+(I117-Projections!I14)</f>
        <v>-2916.334884261134</v>
      </c>
      <c r="J118" s="1">
        <f>(J116-Projections!J9)+(J117-Projections!J14)</f>
        <v>-3223.9946810185575</v>
      </c>
      <c r="K118" s="1">
        <f>(K116-Projections!K9)+(K117-Projections!K14)</f>
        <v>-3435.8559505655467</v>
      </c>
      <c r="L118" s="1">
        <f>(L116-Projections!L9)+(L117-Projections!L14)</f>
        <v>-3538.9316290825118</v>
      </c>
    </row>
    <row r="119" spans="1:12" hidden="1" outlineLevel="1">
      <c r="A119" s="1" t="s">
        <v>890</v>
      </c>
      <c r="C119" s="1">
        <f>C118*(1+Assumptions!C32)</f>
        <v>-293.93312048842097</v>
      </c>
      <c r="D119" s="1">
        <f>D118*(1+Assumptions!D32)</f>
        <v>-653.30988103132393</v>
      </c>
      <c r="E119" s="1">
        <f>E118*(1+Assumptions!E32)</f>
        <v>-1066.4876175665318</v>
      </c>
      <c r="F119" s="1">
        <f>F118*(1+Assumptions!F32)</f>
        <v>-1522.4692900920061</v>
      </c>
      <c r="G119" s="1">
        <f>G118*(1+Assumptions!G32)</f>
        <v>-2014.8391235770966</v>
      </c>
      <c r="H119" s="1">
        <f>H118*(1+Assumptions!H32)</f>
        <v>-2457.8228110749433</v>
      </c>
      <c r="I119" s="1">
        <f>I118*(1+Assumptions!I32)</f>
        <v>-2836.2946592132384</v>
      </c>
      <c r="J119" s="1">
        <f>J118*(1+Assumptions!J32)</f>
        <v>-3135.5105836624607</v>
      </c>
      <c r="K119" s="1">
        <f>K118*(1+Assumptions!K32)</f>
        <v>-3341.5572179338546</v>
      </c>
      <c r="L119" s="1">
        <f>L118*(1+Assumptions!L32)</f>
        <v>-3441.8039344718691</v>
      </c>
    </row>
    <row r="120" spans="1:12" hidden="1" outlineLevel="1">
      <c r="A120" s="1" t="s">
        <v>891</v>
      </c>
      <c r="C120" s="1">
        <f>(C116-Projections!C9)*Assumptions!C36+(C117-Projections!C14)*Assumptions!C37+C119*(Assumptions!C39+Assumptions!C40)+Projections!C17*$C$115</f>
        <v>-351.57064757201493</v>
      </c>
      <c r="D120" s="1">
        <f>(D116-Projections!D9)*Assumptions!D36+(D117-Projections!D14)*Assumptions!D37+D119*(Assumptions!D39+Assumptions!D40)+Projections!D17*$C$115</f>
        <v>-421.90654898065105</v>
      </c>
      <c r="E120" s="1">
        <f>(E116-Projections!E9)*Assumptions!E36+(E117-Projections!E14)*Assumptions!E37+E119*(Assumptions!E39+Assumptions!E40)+Projections!E17*$C$115</f>
        <v>-500.9195139765078</v>
      </c>
      <c r="F120" s="1">
        <f>(F116-Projections!F9)*Assumptions!F36+(F117-Projections!F14)*Assumptions!F37+F119*(Assumptions!F39+Assumptions!F40)+Projections!F17*$C$115</f>
        <v>-587.68106998055907</v>
      </c>
      <c r="G120" s="1">
        <f>(G116-Projections!G9)*Assumptions!G36+(G117-Projections!G14)*Assumptions!G37+G119*(Assumptions!G39+Assumptions!G40)+Projections!G17*$C$115</f>
        <v>-677.01087194138927</v>
      </c>
      <c r="H120" s="1">
        <f>(H116-Projections!H9)*Assumptions!H36+(H117-Projections!H14)*Assumptions!H37+H119*(Assumptions!H39+Assumptions!H40)+Projections!H17*$C$115</f>
        <v>-754.49641984284244</v>
      </c>
      <c r="I120" s="1">
        <f>(I116-Projections!I9)*Assumptions!I36+(I117-Projections!I14)*Assumptions!I37+I119*(Assumptions!I39+Assumptions!I40)+Projections!I17*$C$115</f>
        <v>-822.53309830772787</v>
      </c>
      <c r="J120" s="1">
        <f>(J116-Projections!J9)*Assumptions!J36+(J117-Projections!J14)*Assumptions!J37+J119*(Assumptions!J39+Assumptions!J40)+Projections!J17*$C$115</f>
        <v>-879.03575657106671</v>
      </c>
      <c r="K120" s="1">
        <f>(K116-Projections!K9)*Assumptions!K36+(K117-Projections!K14)*Assumptions!K37+K119*(Assumptions!K39+Assumptions!K40)+Projections!K17*$C$115</f>
        <v>-922.02502495125475</v>
      </c>
      <c r="L120" s="1">
        <f>(L116-Projections!L9)*Assumptions!L36+(L117-Projections!L14)*Assumptions!L37+L119*(Assumptions!L39+Assumptions!L40)+Projections!L17*$C$115</f>
        <v>-949.68577569979243</v>
      </c>
    </row>
    <row r="121" spans="1:12" hidden="1" outlineLevel="1">
      <c r="A121" s="1" t="s">
        <v>892</v>
      </c>
      <c r="C121" s="1">
        <f>C119*(1-Assumptions!C44-Assumptions!C45+Assumptions!C46)-C120</f>
        <v>85.855106650482412</v>
      </c>
      <c r="D121" s="1">
        <f>D119*(1-Assumptions!D44-Assumptions!D45+Assumptions!D46)-D120</f>
        <v>-168.68558347166567</v>
      </c>
      <c r="E121" s="1">
        <f>E119*(1-Assumptions!E44-Assumptions!E45+Assumptions!E46)-E120</f>
        <v>-463.18529230363686</v>
      </c>
      <c r="F121" s="1">
        <f>F119*(1-Assumptions!F44-Assumptions!F45+Assumptions!F46)-F120</f>
        <v>-788.63116826261432</v>
      </c>
      <c r="G121" s="1">
        <f>G119*(1-Assumptions!G44-Assumptions!G45+Assumptions!G46)-G120</f>
        <v>-1144.403695772306</v>
      </c>
      <c r="H121" s="1">
        <f>H119*(1-Assumptions!H44-Assumptions!H45+Assumptions!H46)-H120</f>
        <v>-1467.3754013689058</v>
      </c>
      <c r="I121" s="1">
        <f>I119*(1-Assumptions!I44-Assumptions!I45+Assumptions!I46)-I120</f>
        <v>-1741.4772736210393</v>
      </c>
      <c r="J121" s="1">
        <f>J119*(1-Assumptions!J44-Assumptions!J45+Assumptions!J46)-J120</f>
        <v>-1955.4658110597977</v>
      </c>
      <c r="K121" s="1">
        <f>K119*(1-Assumptions!K44-Assumptions!K45+Assumptions!K46)-K120</f>
        <v>-2098.7427000609496</v>
      </c>
      <c r="L121" s="1">
        <f>L119*(1-Assumptions!L44-Assumptions!L45+Assumptions!L46)-L120</f>
        <v>-2161.7049810627768</v>
      </c>
    </row>
    <row r="122" spans="1:12" hidden="1" outlineLevel="1">
      <c r="A122" s="1" t="s">
        <v>893</v>
      </c>
      <c r="C122" s="1">
        <f>C119*(Assumptions!C57/Assumptions!$C$9+Assumptions!C58+Assumptions!C62+Assumptions!C64+Assumptions!C65+Assumptions!C67-Assumptions!C63-Assumptions!C61-Assumptions!C66-Assumptions!C68)+C121*(Assumptions!C59-Assumptions!C60)/Assumptions!$C$9</f>
        <v>-8.1508890218355017</v>
      </c>
      <c r="D122" s="1">
        <f>D119*(Assumptions!D57/Assumptions!$C$9+Assumptions!D58+Assumptions!D62+Assumptions!D64+Assumptions!D65+Assumptions!D67-Assumptions!D63-Assumptions!D61-Assumptions!D66-Assumptions!D68)+D121*(Assumptions!D59-Assumptions!D60)/Assumptions!$C$9</f>
        <v>-4.9276632227856778</v>
      </c>
      <c r="E122" s="1">
        <f>E119*(Assumptions!E57/Assumptions!$C$9+Assumptions!E58+Assumptions!E62+Assumptions!E64+Assumptions!E65+Assumptions!E67-Assumptions!E63-Assumptions!E61-Assumptions!E66-Assumptions!E68)+E121*(Assumptions!E59-Assumptions!E60)/Assumptions!$C$9</f>
        <v>-1.1539339101488579</v>
      </c>
      <c r="F122" s="1">
        <f>F119*(Assumptions!F57/Assumptions!$C$9+Assumptions!F58+Assumptions!F62+Assumptions!F64+Assumptions!F65+Assumptions!F67-Assumptions!F63-Assumptions!F61-Assumptions!F66-Assumptions!F68)+F121*(Assumptions!F59-Assumptions!F60)/Assumptions!$C$9</f>
        <v>3.026770327808137</v>
      </c>
      <c r="G122" s="1">
        <f>G119*(Assumptions!G57/Assumptions!$C$9+Assumptions!G58+Assumptions!G62+Assumptions!G64+Assumptions!G65+Assumptions!G67-Assumptions!G63-Assumptions!G61-Assumptions!G66-Assumptions!G68)+G121*(Assumptions!G59-Assumptions!G60)/Assumptions!$C$9</f>
        <v>7.7008859126039582</v>
      </c>
      <c r="H122" s="1">
        <f>H119*(Assumptions!H57/Assumptions!$C$9+Assumptions!H58+Assumptions!H62+Assumptions!H64+Assumptions!H65+Assumptions!H67-Assumptions!H63-Assumptions!H61-Assumptions!H66-Assumptions!H68)+H121*(Assumptions!H59-Assumptions!H60)/Assumptions!$C$9</f>
        <v>12.011983017105123</v>
      </c>
      <c r="I122" s="1">
        <f>I119*(Assumptions!I57/Assumptions!$C$9+Assumptions!I58+Assumptions!I62+Assumptions!I64+Assumptions!I65+Assumptions!I67-Assumptions!I63-Assumptions!I61-Assumptions!I66-Assumptions!I68)+I121*(Assumptions!I59-Assumptions!I60)/Assumptions!$C$9</f>
        <v>15.627922043375506</v>
      </c>
      <c r="J122" s="1">
        <f>J119*(Assumptions!J57/Assumptions!$C$9+Assumptions!J58+Assumptions!J62+Assumptions!J64+Assumptions!J65+Assumptions!J67-Assumptions!J63-Assumptions!J61-Assumptions!J66-Assumptions!J68)+J121*(Assumptions!J59-Assumptions!J60)/Assumptions!$C$9</f>
        <v>18.387097189230836</v>
      </c>
      <c r="K122" s="1">
        <f>K119*(Assumptions!K57/Assumptions!$C$9+Assumptions!K58+Assumptions!K62+Assumptions!K64+Assumptions!K65+Assumptions!K67-Assumptions!K63-Assumptions!K61-Assumptions!K66-Assumptions!K68)+K121*(Assumptions!K59-Assumptions!K60)/Assumptions!$C$9</f>
        <v>20.137437193267502</v>
      </c>
      <c r="L122" s="1">
        <f>L119*(Assumptions!L57/Assumptions!$C$9+Assumptions!L58+Assumptions!L62+Assumptions!L64+Assumptions!L65+Assumptions!L67-Assumptions!L63-Assumptions!L61-Assumptions!L66-Assumptions!L68)+L121*(Assumptions!L59-Assumptions!L60)/Assumptions!$C$9</f>
        <v>20.741560309065491</v>
      </c>
    </row>
    <row r="123" spans="1:12" hidden="1" outlineLevel="1">
      <c r="A123" s="1" t="s">
        <v>894</v>
      </c>
      <c r="C123" s="1">
        <f>C122</f>
        <v>-8.1508890218355017</v>
      </c>
      <c r="D123" s="1">
        <f>D122-C122</f>
        <v>3.2232257990498239</v>
      </c>
      <c r="E123" s="1">
        <f>E122-D122</f>
        <v>3.7737293126368199</v>
      </c>
      <c r="F123" s="1">
        <f>F122-E122</f>
        <v>4.180704237956995</v>
      </c>
      <c r="G123" s="1">
        <f>G122-F122</f>
        <v>4.6741155847958211</v>
      </c>
      <c r="H123" s="1">
        <f>H122-G122</f>
        <v>4.3110971045011652</v>
      </c>
      <c r="I123" s="1">
        <f>I122-H122</f>
        <v>3.6159390262703823</v>
      </c>
      <c r="J123" s="1">
        <f>J122-I122</f>
        <v>2.7591751458553304</v>
      </c>
      <c r="K123" s="1">
        <f>K122-J122</f>
        <v>1.7503400040366657</v>
      </c>
      <c r="L123" s="1">
        <f>L122-K122</f>
        <v>0.60412311579798939</v>
      </c>
    </row>
    <row r="124" spans="1:12" hidden="1" outlineLevel="1">
      <c r="A124" s="1" t="s">
        <v>895</v>
      </c>
      <c r="C124" s="1">
        <f>C120*(1-Assumptions!C49)</f>
        <v>-292.0791296073005</v>
      </c>
      <c r="D124" s="1">
        <f>D120*(1-Assumptions!D49)</f>
        <v>-341.48904857751091</v>
      </c>
      <c r="E124" s="1">
        <f>E120*(1-Assumptions!E49)</f>
        <v>-405.44174688691947</v>
      </c>
      <c r="F124" s="1">
        <f>F120*(1-Assumptions!F49)</f>
        <v>-475.66611596701802</v>
      </c>
      <c r="G124" s="1">
        <f>G120*(1-Assumptions!G49)</f>
        <v>-547.96921046726561</v>
      </c>
      <c r="H124" s="1">
        <f>H120*(1-Assumptions!H49)</f>
        <v>-610.68562502708767</v>
      </c>
      <c r="I124" s="1">
        <f>I120*(1-Assumptions!I49)</f>
        <v>-665.75417196830449</v>
      </c>
      <c r="J124" s="1">
        <f>J120*(1-Assumptions!J49)</f>
        <v>-711.48714070051699</v>
      </c>
      <c r="K124" s="1">
        <f>K120*(1-Assumptions!K49)</f>
        <v>-746.28243931264387</v>
      </c>
      <c r="L124" s="1">
        <f>L120*(1-Assumptions!L49)</f>
        <v>-768.67091249202326</v>
      </c>
    </row>
    <row r="125" spans="1:12" hidden="1" outlineLevel="1">
      <c r="A125" s="1" t="s">
        <v>896</v>
      </c>
      <c r="C125" s="1">
        <f>C119*Assumptions!C53</f>
        <v>-7.6134725858145442</v>
      </c>
      <c r="D125" s="1">
        <f>D119*Assumptions!D53</f>
        <v>-16.922070098832865</v>
      </c>
      <c r="E125" s="1">
        <f>E119*Assumptions!E53</f>
        <v>-27.624223585151636</v>
      </c>
      <c r="F125" s="1">
        <f>F119*Assumptions!F53</f>
        <v>-39.435087082391725</v>
      </c>
      <c r="G125" s="1">
        <f>G119*Assumptions!G53</f>
        <v>-52.188478816850861</v>
      </c>
      <c r="H125" s="1">
        <f>H119*Assumptions!H53</f>
        <v>-63.662667758619854</v>
      </c>
      <c r="I125" s="1">
        <f>I119*Assumptions!I53</f>
        <v>-73.465867328356623</v>
      </c>
      <c r="J125" s="1">
        <f>J119*Assumptions!J53</f>
        <v>-81.216175406084972</v>
      </c>
      <c r="K125" s="1">
        <f>K119*Assumptions!K53</f>
        <v>-86.553207173100191</v>
      </c>
      <c r="L125" s="1">
        <f>L119*Assumptions!L53</f>
        <v>-89.149803388293165</v>
      </c>
    </row>
    <row r="126" spans="1:12" hidden="1" outlineLevel="1">
      <c r="A126" s="1" t="s">
        <v>897</v>
      </c>
      <c r="C126" s="1">
        <f>C119*Assumptions!C55</f>
        <v>-1.3887194117616648</v>
      </c>
      <c r="D126" s="1">
        <f>D119*Assumptions!D55</f>
        <v>-3.0866345111987594</v>
      </c>
      <c r="E126" s="1">
        <f>E119*Assumptions!E55</f>
        <v>-5.0387382492216863</v>
      </c>
      <c r="F126" s="1">
        <f>F119*Assumptions!F55</f>
        <v>-7.1930738987444558</v>
      </c>
      <c r="G126" s="1">
        <f>G119*Assumptions!G55</f>
        <v>-9.5193294237782187</v>
      </c>
      <c r="H126" s="1">
        <f>H119*Assumptions!H55</f>
        <v>-11.612254660987942</v>
      </c>
      <c r="I126" s="1">
        <f>I119*Assumptions!I55</f>
        <v>-13.400386605566363</v>
      </c>
      <c r="J126" s="1">
        <f>J119*Assumptions!J55</f>
        <v>-14.814065206672547</v>
      </c>
      <c r="K126" s="1">
        <f>K119*Assumptions!K55</f>
        <v>-15.78755523142841</v>
      </c>
      <c r="L126" s="1">
        <f>L119*Assumptions!L55</f>
        <v>-16.261181888371258</v>
      </c>
    </row>
    <row r="127" spans="1:12" hidden="1" outlineLevel="1">
      <c r="A127" s="1" t="s">
        <v>898</v>
      </c>
      <c r="C127" s="1">
        <f>Assumptions!C54</f>
        <v>2.9000000000000001E-2</v>
      </c>
      <c r="D127" s="1">
        <f>Assumptions!D54</f>
        <v>0.03</v>
      </c>
      <c r="E127" s="1">
        <f>Assumptions!E54</f>
        <v>0.03</v>
      </c>
      <c r="F127" s="1">
        <f>Assumptions!F54</f>
        <v>2.9000000000000001E-2</v>
      </c>
      <c r="G127" s="1">
        <f>Assumptions!G54</f>
        <v>2.8000000000000001E-2</v>
      </c>
      <c r="H127" s="1">
        <f>Assumptions!$G$54+($L127-Assumptions!$G$54)*H$33</f>
        <v>3.0201120439023513E-2</v>
      </c>
      <c r="I127" s="1">
        <f>Assumptions!$G$54+($L127-Assumptions!$G$54)*I$33</f>
        <v>3.2402240878047023E-2</v>
      </c>
      <c r="J127" s="1">
        <f>Assumptions!$G$54+($L127-Assumptions!$G$54)*J$33</f>
        <v>3.4603361317070536E-2</v>
      </c>
      <c r="K127" s="1">
        <f>Assumptions!$G$54+($L127-Assumptions!$G$54)*K$33</f>
        <v>3.6804481756094048E-2</v>
      </c>
      <c r="L127" s="1">
        <f>((DCF!$L$9+L124)*DCF!$C$22/DCF!$C$24+DCF!$L$10+L125-(DCF!$L$12+L123)-(-Projections!$L$122+L126))/(Projections!$L$20+L119)</f>
        <v>3.9005602195117561E-2</v>
      </c>
    </row>
    <row r="128" spans="1:12" hidden="1" outlineLevel="1">
      <c r="A128" s="1" t="s">
        <v>899</v>
      </c>
      <c r="C128" s="1">
        <f>DCF!C13+C124+C125-((Projections!C20+C119)*C127+Projections!C121)-C126-C123</f>
        <v>9139.4441270394364</v>
      </c>
      <c r="D128" s="1">
        <f>DCF!D13+D124+D125-((Projections!D20+D119)*D127+Projections!D121)-D126-D123</f>
        <v>11040.054256027172</v>
      </c>
      <c r="E128" s="1">
        <f>DCF!E13+E124+E125-((Projections!E20+E119)*E127+Projections!E121)-E126-E123</f>
        <v>11930.919054926615</v>
      </c>
      <c r="F128" s="1">
        <f>DCF!F13+F124+F125-((Projections!F20+F119)*F127+Projections!F121)-F126-F123</f>
        <v>12865.110945645734</v>
      </c>
      <c r="G128" s="1">
        <f>DCF!G13+G124+G125-((Projections!G20+G119)*G127+Projections!G121)-G126-G123</f>
        <v>13677.797263683025</v>
      </c>
      <c r="H128" s="1">
        <f>DCF!H13+H124+H125-((Projections!H20+H119)*H127+Projections!H121)-H126-H123</f>
        <v>13872.328631889928</v>
      </c>
      <c r="I128" s="1">
        <f>DCF!I13+I124+I125-((Projections!I20+I119)*I127+Projections!I121)-I126-I123</f>
        <v>14035.908363720788</v>
      </c>
      <c r="J128" s="1">
        <f>DCF!J13+J124+J125-((Projections!J20+J119)*J127+Projections!J121)-J126-J123</f>
        <v>14162.188078282808</v>
      </c>
      <c r="K128" s="1">
        <f>DCF!K13+K124+K125-((Projections!K20+K119)*K127+Projections!K121)-K126-K123</f>
        <v>14249.205411542409</v>
      </c>
      <c r="L128" s="1">
        <f>(DCF!$L$9+L124)*(1-DCF!$C$22/DCF!$C$24)</f>
        <v>14295.324730509661</v>
      </c>
    </row>
    <row r="129" spans="1:12" hidden="1" outlineLevel="1">
      <c r="A129" s="1" t="s">
        <v>30</v>
      </c>
      <c r="B129" s="1">
        <f>(SUMPRODUCT(C128:K128,DCF!$C$14:$K$14,DCF!$C$17:$K$17)+L128*DCF!$L$17*(1+(1+DCF!$C$22)/(DCF!$C$21-DCF!$C$22))+DCF!$C$44)/DCF!$C$46</f>
        <v>143.83465290372894</v>
      </c>
    </row>
    <row r="130" spans="1:12" hidden="1" outlineLevel="1"/>
    <row r="131" spans="1:12" hidden="1" outlineLevel="1">
      <c r="A131" s="1" t="s">
        <v>905</v>
      </c>
      <c r="B131" s="35">
        <f>$B$18-Assumptions!$C$28</f>
        <v>-1.0000000000000009E-2</v>
      </c>
      <c r="C131" s="35">
        <f>$D$16-Assumptions!$C$38</f>
        <v>-5.0000000000000044E-3</v>
      </c>
    </row>
    <row r="132" spans="1:12" hidden="1" outlineLevel="1">
      <c r="A132" s="1" t="s">
        <v>887</v>
      </c>
      <c r="C132" s="1">
        <f>Projections!B9*(1+Assumptions!C21+$B$131*C$32)</f>
        <v>14439.300000000005</v>
      </c>
      <c r="D132" s="1">
        <f>C132*(1+Assumptions!D21+$B$131*D$32)</f>
        <v>15450.051000000007</v>
      </c>
      <c r="E132" s="1">
        <f>D132*(1+Assumptions!E21+$B$131*E$32)</f>
        <v>16377.054060000008</v>
      </c>
      <c r="F132" s="1">
        <f>E132*(1+Assumptions!F21+$B$131*F$32)</f>
        <v>17195.90676300001</v>
      </c>
      <c r="G132" s="1">
        <f>F132*(1+Assumptions!G21+$B$131*G$32)</f>
        <v>17883.743033520012</v>
      </c>
      <c r="H132" s="1">
        <f>G132*(1+Assumptions!H21+$B$131*H$32)</f>
        <v>18563.325268793771</v>
      </c>
      <c r="I132" s="1">
        <f>H132*(1+Assumptions!I21+$B$131*I$32)</f>
        <v>19231.604978470346</v>
      </c>
      <c r="J132" s="1">
        <f>I132*(1+Assumptions!J21+$B$131*J$32)</f>
        <v>19885.479547738338</v>
      </c>
      <c r="K132" s="1">
        <f>J132*(1+Assumptions!K21+$B$131*K$32)</f>
        <v>20521.814893265964</v>
      </c>
      <c r="L132" s="1">
        <f>K132*(1+Assumptions!L21+$B$131*L$32)</f>
        <v>21137.469340063944</v>
      </c>
    </row>
    <row r="133" spans="1:12" hidden="1" outlineLevel="1">
      <c r="A133" s="1" t="s">
        <v>888</v>
      </c>
      <c r="C133" s="1">
        <f>Projections!B14*(1+Assumptions!C28+$B$131*C$32)</f>
        <v>19435.870769230773</v>
      </c>
      <c r="D133" s="1">
        <f>C133*(1+Assumptions!D28+$B$131*D$32)</f>
        <v>21573.816553846158</v>
      </c>
      <c r="E133" s="1">
        <f>D133*(1+Assumptions!E28+$B$131*E$32)</f>
        <v>23299.721878153854</v>
      </c>
      <c r="F133" s="1">
        <f>E133*(1+Assumptions!F28+$B$131*F$32)</f>
        <v>24697.705190843088</v>
      </c>
      <c r="G133" s="1">
        <f>F133*(1+Assumptions!G28+$B$131*G$32)</f>
        <v>25932.590450385243</v>
      </c>
      <c r="H133" s="1">
        <f>G133*(1+Assumptions!H28+$B$131*H$32)</f>
        <v>27125.489611102967</v>
      </c>
      <c r="I133" s="1">
        <f>H133*(1+Assumptions!I28+$B$131*I$32)</f>
        <v>28264.760174769293</v>
      </c>
      <c r="J133" s="1">
        <f>I133*(1+Assumptions!J28+$B$131*J$32)</f>
        <v>29338.821061410526</v>
      </c>
      <c r="K133" s="1">
        <f>J133*(1+Assumptions!K28+$B$131*K$32)</f>
        <v>30336.340977498487</v>
      </c>
      <c r="L133" s="1">
        <f>K133*(1+Assumptions!L28+$B$131*L$32)</f>
        <v>31246.431206823443</v>
      </c>
    </row>
    <row r="134" spans="1:12" hidden="1" outlineLevel="1">
      <c r="A134" s="1" t="s">
        <v>889</v>
      </c>
      <c r="C134" s="1">
        <f>(C132-Projections!C9)+(C133-Projections!C14)</f>
        <v>-302.22791208791205</v>
      </c>
      <c r="D134" s="1">
        <f>(D132-Projections!D9)+(D133-Projections!D14)</f>
        <v>-671.74628351648244</v>
      </c>
      <c r="E134" s="1">
        <f>(E132-Projections!E9)+(E133-Projections!E14)</f>
        <v>-1096.5838942857135</v>
      </c>
      <c r="F134" s="1">
        <f>(F132-Projections!F9)+(F133-Projections!F14)</f>
        <v>-1565.4333679643933</v>
      </c>
      <c r="G134" s="1">
        <f>(G132-Projections!G9)+(G133-Projections!G14)</f>
        <v>-2071.6978763736588</v>
      </c>
      <c r="H134" s="1">
        <f>(H132-Projections!H9)+(H133-Projections!H14)</f>
        <v>-2527.1825619341362</v>
      </c>
      <c r="I134" s="1">
        <f>(I132-Projections!I9)+(I133-Projections!I14)</f>
        <v>-2916.334884261134</v>
      </c>
      <c r="J134" s="1">
        <f>(J132-Projections!J9)+(J133-Projections!J14)</f>
        <v>-3223.9946810185575</v>
      </c>
      <c r="K134" s="1">
        <f>(K132-Projections!K9)+(K133-Projections!K14)</f>
        <v>-3435.8559505655467</v>
      </c>
      <c r="L134" s="1">
        <f>(L132-Projections!L9)+(L133-Projections!L14)</f>
        <v>-3538.9316290825118</v>
      </c>
    </row>
    <row r="135" spans="1:12" hidden="1" outlineLevel="1">
      <c r="A135" s="1" t="s">
        <v>890</v>
      </c>
      <c r="C135" s="1">
        <f>C134*(1+Assumptions!C32)</f>
        <v>-293.93312048842097</v>
      </c>
      <c r="D135" s="1">
        <f>D134*(1+Assumptions!D32)</f>
        <v>-653.30988103132393</v>
      </c>
      <c r="E135" s="1">
        <f>E134*(1+Assumptions!E32)</f>
        <v>-1066.4876175665318</v>
      </c>
      <c r="F135" s="1">
        <f>F134*(1+Assumptions!F32)</f>
        <v>-1522.4692900920061</v>
      </c>
      <c r="G135" s="1">
        <f>G134*(1+Assumptions!G32)</f>
        <v>-2014.8391235770966</v>
      </c>
      <c r="H135" s="1">
        <f>H134*(1+Assumptions!H32)</f>
        <v>-2457.8228110749433</v>
      </c>
      <c r="I135" s="1">
        <f>I134*(1+Assumptions!I32)</f>
        <v>-2836.2946592132384</v>
      </c>
      <c r="J135" s="1">
        <f>J134*(1+Assumptions!J32)</f>
        <v>-3135.5105836624607</v>
      </c>
      <c r="K135" s="1">
        <f>K134*(1+Assumptions!K32)</f>
        <v>-3341.5572179338546</v>
      </c>
      <c r="L135" s="1">
        <f>L134*(1+Assumptions!L32)</f>
        <v>-3441.8039344718691</v>
      </c>
    </row>
    <row r="136" spans="1:12" hidden="1" outlineLevel="1">
      <c r="A136" s="1" t="s">
        <v>891</v>
      </c>
      <c r="C136" s="1">
        <f>(C132-Projections!C9)*Assumptions!C36+(C133-Projections!C14)*Assumptions!C37+C135*(Assumptions!C39+Assumptions!C40)+Projections!C17*$C$131</f>
        <v>-194.52984757201477</v>
      </c>
      <c r="D136" s="1">
        <f>(D132-Projections!D9)*Assumptions!D36+(D133-Projections!D14)*Assumptions!D37+D135*(Assumptions!D39+Assumptions!D40)+Projections!D17*$C$131</f>
        <v>-253.87289298065085</v>
      </c>
      <c r="E136" s="1">
        <f>(E132-Projections!E9)*Assumptions!E36+(E133-Projections!E14)*Assumptions!E37+E135*(Assumptions!E39+Assumptions!E40)+Projections!E17*$C$131</f>
        <v>-322.80383861650762</v>
      </c>
      <c r="F136" s="1">
        <f>(F132-Projections!F9)*Assumptions!F36+(F133-Projections!F14)*Assumptions!F37+F135*(Assumptions!F39+Assumptions!F40)+Projections!F17*$C$131</f>
        <v>-400.65961085255884</v>
      </c>
      <c r="G136" s="1">
        <f>(G132-Projections!G9)*Assumptions!G36+(G133-Projections!G14)*Assumptions!G37+G135*(Assumptions!G39+Assumptions!G40)+Projections!G17*$C$131</f>
        <v>-482.50855444826902</v>
      </c>
      <c r="H136" s="1">
        <f>(H132-Projections!H9)*Assumptions!H36+(H133-Projections!H14)*Assumptions!H37+H135*(Assumptions!H39+Assumptions!H40)+Projections!H17*$C$131</f>
        <v>-552.6030142849836</v>
      </c>
      <c r="I136" s="1">
        <f>(I132-Projections!I9)*Assumptions!I36+(I133-Projections!I14)*Assumptions!I37+I135*(Assumptions!I39+Assumptions!I40)+Projections!I17*$C$131</f>
        <v>-613.37153014978605</v>
      </c>
      <c r="J136" s="1">
        <f>(J132-Projections!J9)*Assumptions!J36+(J133-Projections!J14)*Assumptions!J37+J135*(Assumptions!J39+Assumptions!J40)+Projections!J17*$C$131</f>
        <v>-662.76269509575491</v>
      </c>
      <c r="K136" s="1">
        <f>(K132-Projections!K9)*Assumptions!K36+(K133-Projections!K14)*Assumptions!K37+K135*(Assumptions!K39+Assumptions!K40)+Projections!K17*$C$131</f>
        <v>-698.83122550873304</v>
      </c>
      <c r="L136" s="1">
        <f>(L132-Projections!L9)*Assumptions!L36+(L133-Projections!L14)*Assumptions!L37+L135*(Assumptions!L39+Assumptions!L40)+Projections!L17*$C$131</f>
        <v>-719.79616227399504</v>
      </c>
    </row>
    <row r="137" spans="1:12" hidden="1" outlineLevel="1">
      <c r="A137" s="1" t="s">
        <v>892</v>
      </c>
      <c r="C137" s="1">
        <f>C135*(1-Assumptions!C44-Assumptions!C45+Assumptions!C46)-C136</f>
        <v>-71.185693349517749</v>
      </c>
      <c r="D137" s="1">
        <f>D135*(1-Assumptions!D44-Assumptions!D45+Assumptions!D46)-D136</f>
        <v>-336.7192394716659</v>
      </c>
      <c r="E137" s="1">
        <f>E135*(1-Assumptions!E44-Assumptions!E45+Assumptions!E46)-E136</f>
        <v>-641.30096766363704</v>
      </c>
      <c r="F137" s="1">
        <f>F135*(1-Assumptions!F44-Assumptions!F45+Assumptions!F46)-F136</f>
        <v>-975.6526273906145</v>
      </c>
      <c r="G137" s="1">
        <f>G135*(1-Assumptions!G44-Assumptions!G45+Assumptions!G46)-G136</f>
        <v>-1338.9060132654263</v>
      </c>
      <c r="H137" s="1">
        <f>H135*(1-Assumptions!H44-Assumptions!H45+Assumptions!H46)-H136</f>
        <v>-1669.2688069267647</v>
      </c>
      <c r="I137" s="1">
        <f>I135*(1-Assumptions!I44-Assumptions!I45+Assumptions!I46)-I136</f>
        <v>-1950.6388417789813</v>
      </c>
      <c r="J137" s="1">
        <f>J135*(1-Assumptions!J44-Assumptions!J45+Assumptions!J46)-J136</f>
        <v>-2171.7388725351093</v>
      </c>
      <c r="K137" s="1">
        <f>K135*(1-Assumptions!K44-Assumptions!K45+Assumptions!K46)-K136</f>
        <v>-2321.9364995034712</v>
      </c>
      <c r="L137" s="1">
        <f>L135*(1-Assumptions!L44-Assumptions!L45+Assumptions!L46)-L136</f>
        <v>-2391.5945944885743</v>
      </c>
    </row>
    <row r="138" spans="1:12" hidden="1" outlineLevel="1">
      <c r="A138" s="1" t="s">
        <v>893</v>
      </c>
      <c r="C138" s="1">
        <f>C135*(Assumptions!C57/Assumptions!$C$9+Assumptions!C58+Assumptions!C62+Assumptions!C64+Assumptions!C65+Assumptions!C67-Assumptions!C63-Assumptions!C61-Assumptions!C66-Assumptions!C68)+C137*(Assumptions!C59-Assumptions!C60)/Assumptions!$C$9</f>
        <v>-2.3897496290878846</v>
      </c>
      <c r="D138" s="1">
        <f>D135*(Assumptions!D57/Assumptions!$C$9+Assumptions!D58+Assumptions!D62+Assumptions!D64+Assumptions!D65+Assumptions!D67-Assumptions!D63-Assumptions!D61-Assumptions!D66-Assumptions!D68)+D137*(Assumptions!D59-Assumptions!D60)/Assumptions!$C$9</f>
        <v>1.2367559274542739</v>
      </c>
      <c r="E138" s="1">
        <f>E135*(Assumptions!E57/Assumptions!$C$9+Assumptions!E58+Assumptions!E62+Assumptions!E64+Assumptions!E65+Assumptions!E67-Assumptions!E63-Assumptions!E61-Assumptions!E66-Assumptions!E68)+E137*(Assumptions!E59-Assumptions!E60)/Assumptions!$C$9</f>
        <v>5.3803503891054874</v>
      </c>
      <c r="F138" s="1">
        <f>F135*(Assumptions!F57/Assumptions!$C$9+Assumptions!F58+Assumptions!F62+Assumptions!F64+Assumptions!F65+Assumptions!F67-Assumptions!F63-Assumptions!F61-Assumptions!F66-Assumptions!F68)+F137*(Assumptions!F59-Assumptions!F60)/Assumptions!$C$9</f>
        <v>9.8877688420252028</v>
      </c>
      <c r="G138" s="1">
        <f>G135*(Assumptions!G57/Assumptions!$C$9+Assumptions!G58+Assumptions!G62+Assumptions!G64+Assumptions!G65+Assumptions!G67-Assumptions!G63-Assumptions!G61-Assumptions!G66-Assumptions!G68)+G137*(Assumptions!G59-Assumptions!G60)/Assumptions!$C$9</f>
        <v>14.836324367389707</v>
      </c>
      <c r="H138" s="1">
        <f>H135*(Assumptions!H57/Assumptions!$C$9+Assumptions!H58+Assumptions!H62+Assumptions!H64+Assumptions!H65+Assumptions!H67-Assumptions!H63-Assumptions!H61-Assumptions!H66-Assumptions!H68)+H137*(Assumptions!H59-Assumptions!H60)/Assumptions!$C$9</f>
        <v>19.418568133172727</v>
      </c>
      <c r="I138" s="1">
        <f>I135*(Assumptions!I57/Assumptions!$C$9+Assumptions!I58+Assumptions!I62+Assumptions!I64+Assumptions!I65+Assumptions!I67-Assumptions!I63-Assumptions!I61-Assumptions!I66-Assumptions!I68)+I137*(Assumptions!I59-Assumptions!I60)/Assumptions!$C$9</f>
        <v>23.301144223621563</v>
      </c>
      <c r="J138" s="1">
        <f>J135*(Assumptions!J57/Assumptions!$C$9+Assumptions!J58+Assumptions!J62+Assumptions!J64+Assumptions!J65+Assumptions!J67-Assumptions!J63-Assumptions!J61-Assumptions!J66-Assumptions!J68)+J137*(Assumptions!J59-Assumptions!J60)/Assumptions!$C$9</f>
        <v>26.321208923605234</v>
      </c>
      <c r="K138" s="1">
        <f>K135*(Assumptions!K57/Assumptions!$C$9+Assumptions!K58+Assumptions!K62+Assumptions!K64+Assumptions!K65+Assumptions!K67-Assumptions!K63-Assumptions!K61-Assumptions!K66-Assumptions!K68)+K137*(Assumptions!K59-Assumptions!K60)/Assumptions!$C$9</f>
        <v>28.325440503141877</v>
      </c>
      <c r="L138" s="1">
        <f>L135*(Assumptions!L57/Assumptions!$C$9+Assumptions!L58+Assumptions!L62+Assumptions!L64+Assumptions!L65+Assumptions!L67-Assumptions!L63-Assumptions!L61-Assumptions!L66-Assumptions!L68)+L137*(Assumptions!L59-Assumptions!L60)/Assumptions!$C$9</f>
        <v>29.175203718236105</v>
      </c>
    </row>
    <row r="139" spans="1:12" hidden="1" outlineLevel="1">
      <c r="A139" s="1" t="s">
        <v>894</v>
      </c>
      <c r="C139" s="1">
        <f>C138</f>
        <v>-2.3897496290878846</v>
      </c>
      <c r="D139" s="1">
        <f>D138-C138</f>
        <v>3.6265055565421584</v>
      </c>
      <c r="E139" s="1">
        <f>E138-D138</f>
        <v>4.1435944616512135</v>
      </c>
      <c r="F139" s="1">
        <f>F138-E138</f>
        <v>4.5074184529197154</v>
      </c>
      <c r="G139" s="1">
        <f>G138-F138</f>
        <v>4.9485555253645046</v>
      </c>
      <c r="H139" s="1">
        <f>H138-G138</f>
        <v>4.5822437657830193</v>
      </c>
      <c r="I139" s="1">
        <f>I138-H138</f>
        <v>3.8825760904488362</v>
      </c>
      <c r="J139" s="1">
        <f>J138-I138</f>
        <v>3.0200646999836707</v>
      </c>
      <c r="K139" s="1">
        <f>K138-J138</f>
        <v>2.0042315795366434</v>
      </c>
      <c r="L139" s="1">
        <f>L138-K138</f>
        <v>0.84976321509422803</v>
      </c>
    </row>
    <row r="140" spans="1:12" hidden="1" outlineLevel="1">
      <c r="A140" s="1" t="s">
        <v>895</v>
      </c>
      <c r="C140" s="1">
        <f>C136*(1-Assumptions!C49)</f>
        <v>-161.61220782755029</v>
      </c>
      <c r="D140" s="1">
        <f>D136*(1-Assumptions!D49)</f>
        <v>-205.48344862871184</v>
      </c>
      <c r="E140" s="1">
        <f>E136*(1-Assumptions!E49)</f>
        <v>-261.2758109411925</v>
      </c>
      <c r="F140" s="1">
        <f>F136*(1-Assumptions!F49)</f>
        <v>-324.29188322400461</v>
      </c>
      <c r="G140" s="1">
        <f>G136*(1-Assumptions!G49)</f>
        <v>-390.54000841453171</v>
      </c>
      <c r="H140" s="1">
        <f>H136*(1-Assumptions!H49)</f>
        <v>-447.27411329634992</v>
      </c>
      <c r="I140" s="1">
        <f>I136*(1-Assumptions!I49)</f>
        <v>-496.45984581526005</v>
      </c>
      <c r="J140" s="1">
        <f>J136*(1-Assumptions!J49)</f>
        <v>-536.43680745826907</v>
      </c>
      <c r="K140" s="1">
        <f>K136*(1-Assumptions!K49)</f>
        <v>-565.63049540664406</v>
      </c>
      <c r="L140" s="1">
        <f>L136*(1-Assumptions!L49)</f>
        <v>-582.59941026884349</v>
      </c>
    </row>
    <row r="141" spans="1:12" hidden="1" outlineLevel="1">
      <c r="A141" s="1" t="s">
        <v>896</v>
      </c>
      <c r="C141" s="1">
        <f>C135*Assumptions!C53</f>
        <v>-7.6134725858145442</v>
      </c>
      <c r="D141" s="1">
        <f>D135*Assumptions!D53</f>
        <v>-16.922070098832865</v>
      </c>
      <c r="E141" s="1">
        <f>E135*Assumptions!E53</f>
        <v>-27.624223585151636</v>
      </c>
      <c r="F141" s="1">
        <f>F135*Assumptions!F53</f>
        <v>-39.435087082391725</v>
      </c>
      <c r="G141" s="1">
        <f>G135*Assumptions!G53</f>
        <v>-52.188478816850861</v>
      </c>
      <c r="H141" s="1">
        <f>H135*Assumptions!H53</f>
        <v>-63.662667758619854</v>
      </c>
      <c r="I141" s="1">
        <f>I135*Assumptions!I53</f>
        <v>-73.465867328356623</v>
      </c>
      <c r="J141" s="1">
        <f>J135*Assumptions!J53</f>
        <v>-81.216175406084972</v>
      </c>
      <c r="K141" s="1">
        <f>K135*Assumptions!K53</f>
        <v>-86.553207173100191</v>
      </c>
      <c r="L141" s="1">
        <f>L135*Assumptions!L53</f>
        <v>-89.149803388293165</v>
      </c>
    </row>
    <row r="142" spans="1:12" hidden="1" outlineLevel="1">
      <c r="A142" s="1" t="s">
        <v>897</v>
      </c>
      <c r="C142" s="1">
        <f>C135*Assumptions!C55</f>
        <v>-1.3887194117616648</v>
      </c>
      <c r="D142" s="1">
        <f>D135*Assumptions!D55</f>
        <v>-3.0866345111987594</v>
      </c>
      <c r="E142" s="1">
        <f>E135*Assumptions!E55</f>
        <v>-5.0387382492216863</v>
      </c>
      <c r="F142" s="1">
        <f>F135*Assumptions!F55</f>
        <v>-7.1930738987444558</v>
      </c>
      <c r="G142" s="1">
        <f>G135*Assumptions!G55</f>
        <v>-9.5193294237782187</v>
      </c>
      <c r="H142" s="1">
        <f>H135*Assumptions!H55</f>
        <v>-11.612254660987942</v>
      </c>
      <c r="I142" s="1">
        <f>I135*Assumptions!I55</f>
        <v>-13.400386605566363</v>
      </c>
      <c r="J142" s="1">
        <f>J135*Assumptions!J55</f>
        <v>-14.814065206672547</v>
      </c>
      <c r="K142" s="1">
        <f>K135*Assumptions!K55</f>
        <v>-15.78755523142841</v>
      </c>
      <c r="L142" s="1">
        <f>L135*Assumptions!L55</f>
        <v>-16.261181888371258</v>
      </c>
    </row>
    <row r="143" spans="1:12" hidden="1" outlineLevel="1">
      <c r="A143" s="1" t="s">
        <v>898</v>
      </c>
      <c r="C143" s="1">
        <f>Assumptions!C54</f>
        <v>2.9000000000000001E-2</v>
      </c>
      <c r="D143" s="1">
        <f>Assumptions!D54</f>
        <v>0.03</v>
      </c>
      <c r="E143" s="1">
        <f>Assumptions!E54</f>
        <v>0.03</v>
      </c>
      <c r="F143" s="1">
        <f>Assumptions!F54</f>
        <v>2.9000000000000001E-2</v>
      </c>
      <c r="G143" s="1">
        <f>Assumptions!G54</f>
        <v>2.8000000000000001E-2</v>
      </c>
      <c r="H143" s="1">
        <f>Assumptions!$G$54+($L143-Assumptions!$G$54)*H$33</f>
        <v>3.0239653640601289E-2</v>
      </c>
      <c r="I143" s="1">
        <f>Assumptions!$G$54+($L143-Assumptions!$G$54)*I$33</f>
        <v>3.2479307281202574E-2</v>
      </c>
      <c r="J143" s="1">
        <f>Assumptions!$G$54+($L143-Assumptions!$G$54)*J$33</f>
        <v>3.4718960921803863E-2</v>
      </c>
      <c r="K143" s="1">
        <f>Assumptions!$G$54+($L143-Assumptions!$G$54)*K$33</f>
        <v>3.6958614562405151E-2</v>
      </c>
      <c r="L143" s="1">
        <f>((DCF!$L$9+L140)*DCF!$C$22/DCF!$C$24+DCF!$L$10+L141-(DCF!$L$12+L139)-(-Projections!$L$122+L142))/(Projections!$L$20+L135)</f>
        <v>3.9198268203006439E-2</v>
      </c>
    </row>
    <row r="144" spans="1:12" hidden="1" outlineLevel="1">
      <c r="A144" s="1" t="s">
        <v>899</v>
      </c>
      <c r="C144" s="1">
        <f>DCF!C13+C140+C141-((Projections!C20+C135)*C143+Projections!C121)-C142-C139</f>
        <v>9264.1499094264382</v>
      </c>
      <c r="D144" s="1">
        <f>DCF!D13+D140+D141-((Projections!D20+D135)*D143+Projections!D121)-D142-D139</f>
        <v>11175.656576218475</v>
      </c>
      <c r="E144" s="1">
        <f>DCF!E13+E140+E141-((Projections!E20+E135)*E143+Projections!E121)-E142-E139</f>
        <v>12074.715125723327</v>
      </c>
      <c r="F144" s="1">
        <f>DCF!F13+F140+F141-((Projections!F20+F135)*F143+Projections!F121)-F142-F139</f>
        <v>13016.158464173785</v>
      </c>
      <c r="G144" s="1">
        <f>DCF!G13+G140+G141-((Projections!G20+G135)*G143+Projections!G121)-G142-G139</f>
        <v>13834.95202579519</v>
      </c>
      <c r="H144" s="1">
        <f>DCF!H13+H140+H141-((Projections!H20+H135)*H143+Projections!H121)-H142-H139</f>
        <v>14030.593660158829</v>
      </c>
      <c r="I144" s="1">
        <f>DCF!I13+I140+I141-((Projections!I20+I135)*I143+Projections!I121)-I142-I139</f>
        <v>14194.816880382783</v>
      </c>
      <c r="J144" s="1">
        <f>DCF!J13+J140+J141-((Projections!J20+J135)*J143+Projections!J121)-J142-J139</f>
        <v>14321.264477028531</v>
      </c>
      <c r="K144" s="1">
        <f>DCF!K13+K140+K141-((Projections!K20+K135)*K143+Projections!K121)-K142-K139</f>
        <v>14407.969713744416</v>
      </c>
      <c r="L144" s="1">
        <f>(DCF!$L$9+L140)*(1-DCF!$C$22/DCF!$C$24)</f>
        <v>14453.297139343113</v>
      </c>
    </row>
    <row r="145" spans="1:12" hidden="1" outlineLevel="1">
      <c r="A145" s="1" t="s">
        <v>30</v>
      </c>
      <c r="B145" s="1">
        <f>(SUMPRODUCT(C144:K144,DCF!$C$14:$K$14,DCF!$C$17:$K$17)+L144*DCF!$L$17*(1+(1+DCF!$C$22)/(DCF!$C$21-DCF!$C$22))+DCF!$C$44)/DCF!$C$46</f>
        <v>145.69993896930487</v>
      </c>
    </row>
    <row r="146" spans="1:12" hidden="1" outlineLevel="1"/>
    <row r="147" spans="1:12" hidden="1" outlineLevel="1">
      <c r="A147" s="1" t="s">
        <v>906</v>
      </c>
      <c r="B147" s="35">
        <f>$B$18-Assumptions!$C$28</f>
        <v>-1.0000000000000009E-2</v>
      </c>
      <c r="C147" s="35">
        <f>$E$16-Assumptions!$C$38</f>
        <v>0</v>
      </c>
    </row>
    <row r="148" spans="1:12" hidden="1" outlineLevel="1">
      <c r="A148" s="1" t="s">
        <v>887</v>
      </c>
      <c r="C148" s="1">
        <f>Projections!B9*(1+Assumptions!C21+$B$147*C$32)</f>
        <v>14439.300000000005</v>
      </c>
      <c r="D148" s="1">
        <f>C148*(1+Assumptions!D21+$B$147*D$32)</f>
        <v>15450.051000000007</v>
      </c>
      <c r="E148" s="1">
        <f>D148*(1+Assumptions!E21+$B$147*E$32)</f>
        <v>16377.054060000008</v>
      </c>
      <c r="F148" s="1">
        <f>E148*(1+Assumptions!F21+$B$147*F$32)</f>
        <v>17195.90676300001</v>
      </c>
      <c r="G148" s="1">
        <f>F148*(1+Assumptions!G21+$B$147*G$32)</f>
        <v>17883.743033520012</v>
      </c>
      <c r="H148" s="1">
        <f>G148*(1+Assumptions!H21+$B$147*H$32)</f>
        <v>18563.325268793771</v>
      </c>
      <c r="I148" s="1">
        <f>H148*(1+Assumptions!I21+$B$147*I$32)</f>
        <v>19231.604978470346</v>
      </c>
      <c r="J148" s="1">
        <f>I148*(1+Assumptions!J21+$B$147*J$32)</f>
        <v>19885.479547738338</v>
      </c>
      <c r="K148" s="1">
        <f>J148*(1+Assumptions!K21+$B$147*K$32)</f>
        <v>20521.814893265964</v>
      </c>
      <c r="L148" s="1">
        <f>K148*(1+Assumptions!L21+$B$147*L$32)</f>
        <v>21137.469340063944</v>
      </c>
    </row>
    <row r="149" spans="1:12" hidden="1" outlineLevel="1">
      <c r="A149" s="1" t="s">
        <v>888</v>
      </c>
      <c r="C149" s="1">
        <f>Projections!B14*(1+Assumptions!C28+$B$147*C$32)</f>
        <v>19435.870769230773</v>
      </c>
      <c r="D149" s="1">
        <f>C149*(1+Assumptions!D28+$B$147*D$32)</f>
        <v>21573.816553846158</v>
      </c>
      <c r="E149" s="1">
        <f>D149*(1+Assumptions!E28+$B$147*E$32)</f>
        <v>23299.721878153854</v>
      </c>
      <c r="F149" s="1">
        <f>E149*(1+Assumptions!F28+$B$147*F$32)</f>
        <v>24697.705190843088</v>
      </c>
      <c r="G149" s="1">
        <f>F149*(1+Assumptions!G28+$B$147*G$32)</f>
        <v>25932.590450385243</v>
      </c>
      <c r="H149" s="1">
        <f>G149*(1+Assumptions!H28+$B$147*H$32)</f>
        <v>27125.489611102967</v>
      </c>
      <c r="I149" s="1">
        <f>H149*(1+Assumptions!I28+$B$147*I$32)</f>
        <v>28264.760174769293</v>
      </c>
      <c r="J149" s="1">
        <f>I149*(1+Assumptions!J28+$B$147*J$32)</f>
        <v>29338.821061410526</v>
      </c>
      <c r="K149" s="1">
        <f>J149*(1+Assumptions!K28+$B$147*K$32)</f>
        <v>30336.340977498487</v>
      </c>
      <c r="L149" s="1">
        <f>K149*(1+Assumptions!L28+$B$147*L$32)</f>
        <v>31246.431206823443</v>
      </c>
    </row>
    <row r="150" spans="1:12" hidden="1" outlineLevel="1">
      <c r="A150" s="1" t="s">
        <v>889</v>
      </c>
      <c r="C150" s="1">
        <f>(C148-Projections!C9)+(C149-Projections!C14)</f>
        <v>-302.22791208791205</v>
      </c>
      <c r="D150" s="1">
        <f>(D148-Projections!D9)+(D149-Projections!D14)</f>
        <v>-671.74628351648244</v>
      </c>
      <c r="E150" s="1">
        <f>(E148-Projections!E9)+(E149-Projections!E14)</f>
        <v>-1096.5838942857135</v>
      </c>
      <c r="F150" s="1">
        <f>(F148-Projections!F9)+(F149-Projections!F14)</f>
        <v>-1565.4333679643933</v>
      </c>
      <c r="G150" s="1">
        <f>(G148-Projections!G9)+(G149-Projections!G14)</f>
        <v>-2071.6978763736588</v>
      </c>
      <c r="H150" s="1">
        <f>(H148-Projections!H9)+(H149-Projections!H14)</f>
        <v>-2527.1825619341362</v>
      </c>
      <c r="I150" s="1">
        <f>(I148-Projections!I9)+(I149-Projections!I14)</f>
        <v>-2916.334884261134</v>
      </c>
      <c r="J150" s="1">
        <f>(J148-Projections!J9)+(J149-Projections!J14)</f>
        <v>-3223.9946810185575</v>
      </c>
      <c r="K150" s="1">
        <f>(K148-Projections!K9)+(K149-Projections!K14)</f>
        <v>-3435.8559505655467</v>
      </c>
      <c r="L150" s="1">
        <f>(L148-Projections!L9)+(L149-Projections!L14)</f>
        <v>-3538.9316290825118</v>
      </c>
    </row>
    <row r="151" spans="1:12" hidden="1" outlineLevel="1">
      <c r="A151" s="1" t="s">
        <v>890</v>
      </c>
      <c r="C151" s="1">
        <f>C150*(1+Assumptions!C32)</f>
        <v>-293.93312048842097</v>
      </c>
      <c r="D151" s="1">
        <f>D150*(1+Assumptions!D32)</f>
        <v>-653.30988103132393</v>
      </c>
      <c r="E151" s="1">
        <f>E150*(1+Assumptions!E32)</f>
        <v>-1066.4876175665318</v>
      </c>
      <c r="F151" s="1">
        <f>F150*(1+Assumptions!F32)</f>
        <v>-1522.4692900920061</v>
      </c>
      <c r="G151" s="1">
        <f>G150*(1+Assumptions!G32)</f>
        <v>-2014.8391235770966</v>
      </c>
      <c r="H151" s="1">
        <f>H150*(1+Assumptions!H32)</f>
        <v>-2457.8228110749433</v>
      </c>
      <c r="I151" s="1">
        <f>I150*(1+Assumptions!I32)</f>
        <v>-2836.2946592132384</v>
      </c>
      <c r="J151" s="1">
        <f>J150*(1+Assumptions!J32)</f>
        <v>-3135.5105836624607</v>
      </c>
      <c r="K151" s="1">
        <f>K150*(1+Assumptions!K32)</f>
        <v>-3341.5572179338546</v>
      </c>
      <c r="L151" s="1">
        <f>L150*(1+Assumptions!L32)</f>
        <v>-3441.8039344718691</v>
      </c>
    </row>
    <row r="152" spans="1:12" hidden="1" outlineLevel="1">
      <c r="A152" s="1" t="s">
        <v>891</v>
      </c>
      <c r="C152" s="1">
        <f>(C148-Projections!C9)*Assumptions!C36+(C149-Projections!C14)*Assumptions!C37+C151*(Assumptions!C39+Assumptions!C40)+Projections!C17*$C$147</f>
        <v>-37.489047572014627</v>
      </c>
      <c r="D152" s="1">
        <f>(D148-Projections!D9)*Assumptions!D36+(D149-Projections!D14)*Assumptions!D37+D151*(Assumptions!D39+Assumptions!D40)+Projections!D17*$C$147</f>
        <v>-85.839236980650639</v>
      </c>
      <c r="E152" s="1">
        <f>(E148-Projections!E9)*Assumptions!E36+(E149-Projections!E14)*Assumptions!E37+E151*(Assumptions!E39+Assumptions!E40)+Projections!E17*$C$147</f>
        <v>-144.68816325650741</v>
      </c>
      <c r="F152" s="1">
        <f>(F148-Projections!F9)*Assumptions!F36+(F149-Projections!F14)*Assumptions!F37+F151*(Assumptions!F39+Assumptions!F40)+Projections!F17*$C$147</f>
        <v>-213.63815172455861</v>
      </c>
      <c r="G152" s="1">
        <f>(G148-Projections!G9)*Assumptions!G36+(G149-Projections!G14)*Assumptions!G37+G151*(Assumptions!G39+Assumptions!G40)+Projections!G17*$C$147</f>
        <v>-288.00623695514878</v>
      </c>
      <c r="H152" s="1">
        <f>(H148-Projections!H9)*Assumptions!H36+(H149-Projections!H14)*Assumptions!H37+H151*(Assumptions!H39+Assumptions!H40)+Projections!H17*$C$147</f>
        <v>-350.70960872712476</v>
      </c>
      <c r="I152" s="1">
        <f>(I148-Projections!I9)*Assumptions!I36+(I149-Projections!I14)*Assumptions!I37+I151*(Assumptions!I39+Assumptions!I40)+Projections!I17*$C$147</f>
        <v>-404.20996199184435</v>
      </c>
      <c r="J152" s="1">
        <f>(J148-Projections!J9)*Assumptions!J36+(J149-Projections!J14)*Assumptions!J37+J151*(Assumptions!J39+Assumptions!J40)+Projections!J17*$C$147</f>
        <v>-446.48963362044321</v>
      </c>
      <c r="K152" s="1">
        <f>(K148-Projections!K9)*Assumptions!K36+(K149-Projections!K14)*Assumptions!K37+K151*(Assumptions!K39+Assumptions!K40)+Projections!K17*$C$147</f>
        <v>-475.63742606621133</v>
      </c>
      <c r="L152" s="1">
        <f>(L148-Projections!L9)*Assumptions!L36+(L149-Projections!L14)*Assumptions!L37+L151*(Assumptions!L39+Assumptions!L40)+Projections!L17*$C$147</f>
        <v>-489.90654884819764</v>
      </c>
    </row>
    <row r="153" spans="1:12" hidden="1" outlineLevel="1">
      <c r="A153" s="1" t="s">
        <v>892</v>
      </c>
      <c r="C153" s="1">
        <f>C151*(1-Assumptions!C44-Assumptions!C45+Assumptions!C46)-C152</f>
        <v>-228.22649334951791</v>
      </c>
      <c r="D153" s="1">
        <f>D151*(1-Assumptions!D44-Assumptions!D45+Assumptions!D46)-D152</f>
        <v>-504.75289547166608</v>
      </c>
      <c r="E153" s="1">
        <f>E151*(1-Assumptions!E44-Assumptions!E45+Assumptions!E46)-E152</f>
        <v>-819.41664302363722</v>
      </c>
      <c r="F153" s="1">
        <f>F151*(1-Assumptions!F44-Assumptions!F45+Assumptions!F46)-F152</f>
        <v>-1162.6740865186148</v>
      </c>
      <c r="G153" s="1">
        <f>G151*(1-Assumptions!G44-Assumptions!G45+Assumptions!G46)-G152</f>
        <v>-1533.4083307585465</v>
      </c>
      <c r="H153" s="1">
        <f>H151*(1-Assumptions!H44-Assumptions!H45+Assumptions!H46)-H152</f>
        <v>-1871.1622124846235</v>
      </c>
      <c r="I153" s="1">
        <f>I151*(1-Assumptions!I44-Assumptions!I45+Assumptions!I46)-I152</f>
        <v>-2159.8004099369227</v>
      </c>
      <c r="J153" s="1">
        <f>J151*(1-Assumptions!J44-Assumptions!J45+Assumptions!J46)-J152</f>
        <v>-2388.0119340104211</v>
      </c>
      <c r="K153" s="1">
        <f>K151*(1-Assumptions!K44-Assumptions!K45+Assumptions!K46)-K152</f>
        <v>-2545.1302989459928</v>
      </c>
      <c r="L153" s="1">
        <f>L151*(1-Assumptions!L44-Assumptions!L45+Assumptions!L46)-L152</f>
        <v>-2621.4842079143718</v>
      </c>
    </row>
    <row r="154" spans="1:12" hidden="1" outlineLevel="1">
      <c r="A154" s="1" t="s">
        <v>893</v>
      </c>
      <c r="C154" s="1">
        <f>C151*(Assumptions!C57/Assumptions!$C$9+Assumptions!C58+Assumptions!C62+Assumptions!C64+Assumptions!C65+Assumptions!C67-Assumptions!C63-Assumptions!C61-Assumptions!C66-Assumptions!C68)+C153*(Assumptions!C59-Assumptions!C60)/Assumptions!$C$9</f>
        <v>3.3713897636597334</v>
      </c>
      <c r="D154" s="1">
        <f>D151*(Assumptions!D57/Assumptions!$C$9+Assumptions!D58+Assumptions!D62+Assumptions!D64+Assumptions!D65+Assumptions!D67-Assumptions!D63-Assumptions!D61-Assumptions!D66-Assumptions!D68)+D153*(Assumptions!D59-Assumptions!D60)/Assumptions!$C$9</f>
        <v>7.4011750776942229</v>
      </c>
      <c r="E154" s="1">
        <f>E151*(Assumptions!E57/Assumptions!$C$9+Assumptions!E58+Assumptions!E62+Assumptions!E64+Assumptions!E65+Assumptions!E67-Assumptions!E63-Assumptions!E61-Assumptions!E66-Assumptions!E68)+E153*(Assumptions!E59-Assumptions!E60)/Assumptions!$C$9</f>
        <v>11.914634688359836</v>
      </c>
      <c r="F154" s="1">
        <f>F151*(Assumptions!F57/Assumptions!$C$9+Assumptions!F58+Assumptions!F62+Assumptions!F64+Assumptions!F65+Assumptions!F67-Assumptions!F63-Assumptions!F61-Assumptions!F66-Assumptions!F68)+F153*(Assumptions!F59-Assumptions!F60)/Assumptions!$C$9</f>
        <v>16.748767356242269</v>
      </c>
      <c r="G154" s="1">
        <f>G151*(Assumptions!G57/Assumptions!$C$9+Assumptions!G58+Assumptions!G62+Assumptions!G64+Assumptions!G65+Assumptions!G67-Assumptions!G63-Assumptions!G61-Assumptions!G66-Assumptions!G68)+G153*(Assumptions!G59-Assumptions!G60)/Assumptions!$C$9</f>
        <v>21.971762822175457</v>
      </c>
      <c r="H154" s="1">
        <f>H151*(Assumptions!H57/Assumptions!$C$9+Assumptions!H58+Assumptions!H62+Assumptions!H64+Assumptions!H65+Assumptions!H67-Assumptions!H63-Assumptions!H61-Assumptions!H66-Assumptions!H68)+H153*(Assumptions!H59-Assumptions!H60)/Assumptions!$C$9</f>
        <v>26.825153249240323</v>
      </c>
      <c r="I154" s="1">
        <f>I151*(Assumptions!I57/Assumptions!$C$9+Assumptions!I58+Assumptions!I62+Assumptions!I64+Assumptions!I65+Assumptions!I67-Assumptions!I63-Assumptions!I61-Assumptions!I66-Assumptions!I68)+I153*(Assumptions!I59-Assumptions!I60)/Assumptions!$C$9</f>
        <v>30.974366403867592</v>
      </c>
      <c r="J154" s="1">
        <f>J151*(Assumptions!J57/Assumptions!$C$9+Assumptions!J58+Assumptions!J62+Assumptions!J64+Assumptions!J65+Assumptions!J67-Assumptions!J63-Assumptions!J61-Assumptions!J66-Assumptions!J68)+J153*(Assumptions!J59-Assumptions!J60)/Assumptions!$C$9</f>
        <v>34.255320657979645</v>
      </c>
      <c r="K154" s="1">
        <f>K151*(Assumptions!K57/Assumptions!$C$9+Assumptions!K58+Assumptions!K62+Assumptions!K64+Assumptions!K65+Assumptions!K67-Assumptions!K63-Assumptions!K61-Assumptions!K66-Assumptions!K68)+K153*(Assumptions!K59-Assumptions!K60)/Assumptions!$C$9</f>
        <v>36.513443813016266</v>
      </c>
      <c r="L154" s="1">
        <f>L151*(Assumptions!L57/Assumptions!$C$9+Assumptions!L58+Assumptions!L62+Assumptions!L64+Assumptions!L65+Assumptions!L67-Assumptions!L63-Assumptions!L61-Assumptions!L66-Assumptions!L68)+L153*(Assumptions!L59-Assumptions!L60)/Assumptions!$C$9</f>
        <v>37.608847127406747</v>
      </c>
    </row>
    <row r="155" spans="1:12" hidden="1" outlineLevel="1">
      <c r="A155" s="1" t="s">
        <v>894</v>
      </c>
      <c r="C155" s="1">
        <f>C154</f>
        <v>3.3713897636597334</v>
      </c>
      <c r="D155" s="1">
        <f>D154-C154</f>
        <v>4.0297853140344895</v>
      </c>
      <c r="E155" s="1">
        <f>E154-D154</f>
        <v>4.5134596106656133</v>
      </c>
      <c r="F155" s="1">
        <f>F154-E154</f>
        <v>4.8341326678824323</v>
      </c>
      <c r="G155" s="1">
        <f>G154-F154</f>
        <v>5.2229954659331881</v>
      </c>
      <c r="H155" s="1">
        <f>H154-G154</f>
        <v>4.8533904270648662</v>
      </c>
      <c r="I155" s="1">
        <f>I154-H154</f>
        <v>4.1492131546272688</v>
      </c>
      <c r="J155" s="1">
        <f>J154-I154</f>
        <v>3.2809542541120535</v>
      </c>
      <c r="K155" s="1">
        <f>K154-J154</f>
        <v>2.2581231550366212</v>
      </c>
      <c r="L155" s="1">
        <f>L154-K154</f>
        <v>1.0954033143904809</v>
      </c>
    </row>
    <row r="156" spans="1:12" hidden="1" outlineLevel="1">
      <c r="A156" s="1" t="s">
        <v>895</v>
      </c>
      <c r="C156" s="1">
        <f>C152*(1-Assumptions!C49)</f>
        <v>-31.145286047800077</v>
      </c>
      <c r="D156" s="1">
        <f>D152*(1-Assumptions!D49)</f>
        <v>-69.477848679912768</v>
      </c>
      <c r="E156" s="1">
        <f>E152*(1-Assumptions!E49)</f>
        <v>-117.1098749954655</v>
      </c>
      <c r="F156" s="1">
        <f>F152*(1-Assumptions!F49)</f>
        <v>-172.91765048099126</v>
      </c>
      <c r="G156" s="1">
        <f>G152*(1-Assumptions!G49)</f>
        <v>-233.11080636179781</v>
      </c>
      <c r="H156" s="1">
        <f>H152*(1-Assumptions!H49)</f>
        <v>-283.86260156561207</v>
      </c>
      <c r="I156" s="1">
        <f>I152*(1-Assumptions!I49)</f>
        <v>-327.16551966221573</v>
      </c>
      <c r="J156" s="1">
        <f>J152*(1-Assumptions!J49)</f>
        <v>-361.38647421602133</v>
      </c>
      <c r="K156" s="1">
        <f>K152*(1-Assumptions!K49)</f>
        <v>-384.97855150064436</v>
      </c>
      <c r="L156" s="1">
        <f>L152*(1-Assumptions!L49)</f>
        <v>-396.52790804566365</v>
      </c>
    </row>
    <row r="157" spans="1:12" hidden="1" outlineLevel="1">
      <c r="A157" s="1" t="s">
        <v>896</v>
      </c>
      <c r="C157" s="1">
        <f>C151*Assumptions!C53</f>
        <v>-7.6134725858145442</v>
      </c>
      <c r="D157" s="1">
        <f>D151*Assumptions!D53</f>
        <v>-16.922070098832865</v>
      </c>
      <c r="E157" s="1">
        <f>E151*Assumptions!E53</f>
        <v>-27.624223585151636</v>
      </c>
      <c r="F157" s="1">
        <f>F151*Assumptions!F53</f>
        <v>-39.435087082391725</v>
      </c>
      <c r="G157" s="1">
        <f>G151*Assumptions!G53</f>
        <v>-52.188478816850861</v>
      </c>
      <c r="H157" s="1">
        <f>H151*Assumptions!H53</f>
        <v>-63.662667758619854</v>
      </c>
      <c r="I157" s="1">
        <f>I151*Assumptions!I53</f>
        <v>-73.465867328356623</v>
      </c>
      <c r="J157" s="1">
        <f>J151*Assumptions!J53</f>
        <v>-81.216175406084972</v>
      </c>
      <c r="K157" s="1">
        <f>K151*Assumptions!K53</f>
        <v>-86.553207173100191</v>
      </c>
      <c r="L157" s="1">
        <f>L151*Assumptions!L53</f>
        <v>-89.149803388293165</v>
      </c>
    </row>
    <row r="158" spans="1:12" hidden="1" outlineLevel="1">
      <c r="A158" s="1" t="s">
        <v>897</v>
      </c>
      <c r="C158" s="1">
        <f>C151*Assumptions!C55</f>
        <v>-1.3887194117616648</v>
      </c>
      <c r="D158" s="1">
        <f>D151*Assumptions!D55</f>
        <v>-3.0866345111987594</v>
      </c>
      <c r="E158" s="1">
        <f>E151*Assumptions!E55</f>
        <v>-5.0387382492216863</v>
      </c>
      <c r="F158" s="1">
        <f>F151*Assumptions!F55</f>
        <v>-7.1930738987444558</v>
      </c>
      <c r="G158" s="1">
        <f>G151*Assumptions!G55</f>
        <v>-9.5193294237782187</v>
      </c>
      <c r="H158" s="1">
        <f>H151*Assumptions!H55</f>
        <v>-11.612254660987942</v>
      </c>
      <c r="I158" s="1">
        <f>I151*Assumptions!I55</f>
        <v>-13.400386605566363</v>
      </c>
      <c r="J158" s="1">
        <f>J151*Assumptions!J55</f>
        <v>-14.814065206672547</v>
      </c>
      <c r="K158" s="1">
        <f>K151*Assumptions!K55</f>
        <v>-15.78755523142841</v>
      </c>
      <c r="L158" s="1">
        <f>L151*Assumptions!L55</f>
        <v>-16.261181888371258</v>
      </c>
    </row>
    <row r="159" spans="1:12" hidden="1" outlineLevel="1">
      <c r="A159" s="1" t="s">
        <v>898</v>
      </c>
      <c r="C159" s="1">
        <f>Assumptions!C54</f>
        <v>2.9000000000000001E-2</v>
      </c>
      <c r="D159" s="1">
        <f>Assumptions!D54</f>
        <v>0.03</v>
      </c>
      <c r="E159" s="1">
        <f>Assumptions!E54</f>
        <v>0.03</v>
      </c>
      <c r="F159" s="1">
        <f>Assumptions!F54</f>
        <v>2.9000000000000001E-2</v>
      </c>
      <c r="G159" s="1">
        <f>Assumptions!G54</f>
        <v>2.8000000000000001E-2</v>
      </c>
      <c r="H159" s="1">
        <f>Assumptions!$G$54+($L159-Assumptions!$G$54)*H$33</f>
        <v>3.0278186842179061E-2</v>
      </c>
      <c r="I159" s="1">
        <f>Assumptions!$G$54+($L159-Assumptions!$G$54)*I$33</f>
        <v>3.2556373684358125E-2</v>
      </c>
      <c r="J159" s="1">
        <f>Assumptions!$G$54+($L159-Assumptions!$G$54)*J$33</f>
        <v>3.4834560526537189E-2</v>
      </c>
      <c r="K159" s="1">
        <f>Assumptions!$G$54+($L159-Assumptions!$G$54)*K$33</f>
        <v>3.7112747368716247E-2</v>
      </c>
      <c r="L159" s="1">
        <f>((DCF!$L$9+L156)*DCF!$C$22/DCF!$C$24+DCF!$L$10+L157-(DCF!$L$12+L155)-(-Projections!$L$122+L158))/(Projections!$L$20+L151)</f>
        <v>3.9390934210895311E-2</v>
      </c>
    </row>
    <row r="160" spans="1:12" hidden="1" outlineLevel="1">
      <c r="A160" s="1" t="s">
        <v>899</v>
      </c>
      <c r="C160" s="1">
        <f>DCF!C13+C156+C157-((Projections!C20+C151)*C159+Projections!C121)-C158-C155</f>
        <v>9388.8556918134418</v>
      </c>
      <c r="D160" s="1">
        <f>DCF!D13+D156+D157-((Projections!D20+D151)*D159+Projections!D121)-D158-D155</f>
        <v>11311.258896409781</v>
      </c>
      <c r="E160" s="1">
        <f>DCF!E13+E156+E157-((Projections!E20+E151)*E159+Projections!E121)-E158-E155</f>
        <v>12218.511196520041</v>
      </c>
      <c r="F160" s="1">
        <f>DCF!F13+F156+F157-((Projections!F20+F151)*F159+Projections!F121)-F158-F155</f>
        <v>13167.205982701837</v>
      </c>
      <c r="G160" s="1">
        <f>DCF!G13+G156+G157-((Projections!G20+G151)*G159+Projections!G121)-G158-G155</f>
        <v>13992.106787907356</v>
      </c>
      <c r="H160" s="1">
        <f>DCF!H13+H156+H157-((Projections!H20+H151)*H159+Projections!H121)-H158-H155</f>
        <v>14188.858688427728</v>
      </c>
      <c r="I160" s="1">
        <f>DCF!I13+I156+I157-((Projections!I20+I151)*I159+Projections!I121)-I158-I155</f>
        <v>14353.725397044775</v>
      </c>
      <c r="J160" s="1">
        <f>DCF!J13+J156+J157-((Projections!J20+J151)*J159+Projections!J121)-J158-J155</f>
        <v>14480.340875774253</v>
      </c>
      <c r="K160" s="1">
        <f>DCF!K13+K156+K157-((Projections!K20+K151)*K159+Projections!K121)-K158-K155</f>
        <v>14566.734015946426</v>
      </c>
      <c r="L160" s="1">
        <f>(DCF!$L$9+L156)*(1-DCF!$C$22/DCF!$C$24)</f>
        <v>14611.269548176562</v>
      </c>
    </row>
    <row r="161" spans="1:12" hidden="1" outlineLevel="1">
      <c r="A161" s="1" t="s">
        <v>30</v>
      </c>
      <c r="B161" s="1">
        <f>(SUMPRODUCT(C160:K160,DCF!$C$14:$K$14,DCF!$C$17:$K$17)+L160*DCF!$L$17*(1+(1+DCF!$C$22)/(DCF!$C$21-DCF!$C$22))+DCF!$C$44)/DCF!$C$46</f>
        <v>147.56522503488077</v>
      </c>
    </row>
    <row r="162" spans="1:12" hidden="1" outlineLevel="1"/>
    <row r="163" spans="1:12" hidden="1" outlineLevel="1">
      <c r="A163" s="1" t="s">
        <v>907</v>
      </c>
      <c r="B163" s="35">
        <f>$B$18-Assumptions!$C$28</f>
        <v>-1.0000000000000009E-2</v>
      </c>
      <c r="C163" s="35">
        <f>$F$16-Assumptions!$C$38</f>
        <v>5.0000000000000044E-3</v>
      </c>
    </row>
    <row r="164" spans="1:12" hidden="1" outlineLevel="1">
      <c r="A164" s="1" t="s">
        <v>887</v>
      </c>
      <c r="C164" s="1">
        <f>Projections!B9*(1+Assumptions!C21+$B$163*C$32)</f>
        <v>14439.300000000005</v>
      </c>
      <c r="D164" s="1">
        <f>C164*(1+Assumptions!D21+$B$163*D$32)</f>
        <v>15450.051000000007</v>
      </c>
      <c r="E164" s="1">
        <f>D164*(1+Assumptions!E21+$B$163*E$32)</f>
        <v>16377.054060000008</v>
      </c>
      <c r="F164" s="1">
        <f>E164*(1+Assumptions!F21+$B$163*F$32)</f>
        <v>17195.90676300001</v>
      </c>
      <c r="G164" s="1">
        <f>F164*(1+Assumptions!G21+$B$163*G$32)</f>
        <v>17883.743033520012</v>
      </c>
      <c r="H164" s="1">
        <f>G164*(1+Assumptions!H21+$B$163*H$32)</f>
        <v>18563.325268793771</v>
      </c>
      <c r="I164" s="1">
        <f>H164*(1+Assumptions!I21+$B$163*I$32)</f>
        <v>19231.604978470346</v>
      </c>
      <c r="J164" s="1">
        <f>I164*(1+Assumptions!J21+$B$163*J$32)</f>
        <v>19885.479547738338</v>
      </c>
      <c r="K164" s="1">
        <f>J164*(1+Assumptions!K21+$B$163*K$32)</f>
        <v>20521.814893265964</v>
      </c>
      <c r="L164" s="1">
        <f>K164*(1+Assumptions!L21+$B$163*L$32)</f>
        <v>21137.469340063944</v>
      </c>
    </row>
    <row r="165" spans="1:12" hidden="1" outlineLevel="1">
      <c r="A165" s="1" t="s">
        <v>888</v>
      </c>
      <c r="C165" s="1">
        <f>Projections!B14*(1+Assumptions!C28+$B$163*C$32)</f>
        <v>19435.870769230773</v>
      </c>
      <c r="D165" s="1">
        <f>C165*(1+Assumptions!D28+$B$163*D$32)</f>
        <v>21573.816553846158</v>
      </c>
      <c r="E165" s="1">
        <f>D165*(1+Assumptions!E28+$B$163*E$32)</f>
        <v>23299.721878153854</v>
      </c>
      <c r="F165" s="1">
        <f>E165*(1+Assumptions!F28+$B$163*F$32)</f>
        <v>24697.705190843088</v>
      </c>
      <c r="G165" s="1">
        <f>F165*(1+Assumptions!G28+$B$163*G$32)</f>
        <v>25932.590450385243</v>
      </c>
      <c r="H165" s="1">
        <f>G165*(1+Assumptions!H28+$B$163*H$32)</f>
        <v>27125.489611102967</v>
      </c>
      <c r="I165" s="1">
        <f>H165*(1+Assumptions!I28+$B$163*I$32)</f>
        <v>28264.760174769293</v>
      </c>
      <c r="J165" s="1">
        <f>I165*(1+Assumptions!J28+$B$163*J$32)</f>
        <v>29338.821061410526</v>
      </c>
      <c r="K165" s="1">
        <f>J165*(1+Assumptions!K28+$B$163*K$32)</f>
        <v>30336.340977498487</v>
      </c>
      <c r="L165" s="1">
        <f>K165*(1+Assumptions!L28+$B$163*L$32)</f>
        <v>31246.431206823443</v>
      </c>
    </row>
    <row r="166" spans="1:12" hidden="1" outlineLevel="1">
      <c r="A166" s="1" t="s">
        <v>889</v>
      </c>
      <c r="C166" s="1">
        <f>(C164-Projections!C9)+(C165-Projections!C14)</f>
        <v>-302.22791208791205</v>
      </c>
      <c r="D166" s="1">
        <f>(D164-Projections!D9)+(D165-Projections!D14)</f>
        <v>-671.74628351648244</v>
      </c>
      <c r="E166" s="1">
        <f>(E164-Projections!E9)+(E165-Projections!E14)</f>
        <v>-1096.5838942857135</v>
      </c>
      <c r="F166" s="1">
        <f>(F164-Projections!F9)+(F165-Projections!F14)</f>
        <v>-1565.4333679643933</v>
      </c>
      <c r="G166" s="1">
        <f>(G164-Projections!G9)+(G165-Projections!G14)</f>
        <v>-2071.6978763736588</v>
      </c>
      <c r="H166" s="1">
        <f>(H164-Projections!H9)+(H165-Projections!H14)</f>
        <v>-2527.1825619341362</v>
      </c>
      <c r="I166" s="1">
        <f>(I164-Projections!I9)+(I165-Projections!I14)</f>
        <v>-2916.334884261134</v>
      </c>
      <c r="J166" s="1">
        <f>(J164-Projections!J9)+(J165-Projections!J14)</f>
        <v>-3223.9946810185575</v>
      </c>
      <c r="K166" s="1">
        <f>(K164-Projections!K9)+(K165-Projections!K14)</f>
        <v>-3435.8559505655467</v>
      </c>
      <c r="L166" s="1">
        <f>(L164-Projections!L9)+(L165-Projections!L14)</f>
        <v>-3538.9316290825118</v>
      </c>
    </row>
    <row r="167" spans="1:12" hidden="1" outlineLevel="1">
      <c r="A167" s="1" t="s">
        <v>890</v>
      </c>
      <c r="C167" s="1">
        <f>C166*(1+Assumptions!C32)</f>
        <v>-293.93312048842097</v>
      </c>
      <c r="D167" s="1">
        <f>D166*(1+Assumptions!D32)</f>
        <v>-653.30988103132393</v>
      </c>
      <c r="E167" s="1">
        <f>E166*(1+Assumptions!E32)</f>
        <v>-1066.4876175665318</v>
      </c>
      <c r="F167" s="1">
        <f>F166*(1+Assumptions!F32)</f>
        <v>-1522.4692900920061</v>
      </c>
      <c r="G167" s="1">
        <f>G166*(1+Assumptions!G32)</f>
        <v>-2014.8391235770966</v>
      </c>
      <c r="H167" s="1">
        <f>H166*(1+Assumptions!H32)</f>
        <v>-2457.8228110749433</v>
      </c>
      <c r="I167" s="1">
        <f>I166*(1+Assumptions!I32)</f>
        <v>-2836.2946592132384</v>
      </c>
      <c r="J167" s="1">
        <f>J166*(1+Assumptions!J32)</f>
        <v>-3135.5105836624607</v>
      </c>
      <c r="K167" s="1">
        <f>K166*(1+Assumptions!K32)</f>
        <v>-3341.5572179338546</v>
      </c>
      <c r="L167" s="1">
        <f>L166*(1+Assumptions!L32)</f>
        <v>-3441.8039344718691</v>
      </c>
    </row>
    <row r="168" spans="1:12" hidden="1" outlineLevel="1">
      <c r="A168" s="1" t="s">
        <v>891</v>
      </c>
      <c r="C168" s="1">
        <f>(C164-Projections!C9)*Assumptions!C36+(C165-Projections!C14)*Assumptions!C37+C167*(Assumptions!C39+Assumptions!C40)+Projections!C17*$C$163</f>
        <v>119.55175242798553</v>
      </c>
      <c r="D168" s="1">
        <f>(D164-Projections!D9)*Assumptions!D36+(D165-Projections!D14)*Assumptions!D37+D167*(Assumptions!D39+Assumptions!D40)+Projections!D17*$C$163</f>
        <v>82.194419019349567</v>
      </c>
      <c r="E168" s="1">
        <f>(E164-Projections!E9)*Assumptions!E36+(E165-Projections!E14)*Assumptions!E37+E167*(Assumptions!E39+Assumptions!E40)+Projections!E17*$C$163</f>
        <v>33.427512103492802</v>
      </c>
      <c r="F168" s="1">
        <f>(F164-Projections!F9)*Assumptions!F36+(F165-Projections!F14)*Assumptions!F37+F167*(Assumptions!F39+Assumptions!F40)+Projections!F17*$C$163</f>
        <v>-26.61669259655838</v>
      </c>
      <c r="G168" s="1">
        <f>(G164-Projections!G9)*Assumptions!G36+(G165-Projections!G14)*Assumptions!G37+G167*(Assumptions!G39+Assumptions!G40)+Projections!G17*$C$163</f>
        <v>-93.503919462028534</v>
      </c>
      <c r="H168" s="1">
        <f>(H164-Projections!H9)*Assumptions!H36+(H165-Projections!H14)*Assumptions!H37+H167*(Assumptions!H39+Assumptions!H40)+Projections!H17*$C$163</f>
        <v>-148.81620316926595</v>
      </c>
      <c r="I168" s="1">
        <f>(I164-Projections!I9)*Assumptions!I36+(I165-Projections!I14)*Assumptions!I37+I167*(Assumptions!I39+Assumptions!I40)+Projections!I17*$C$163</f>
        <v>-195.04839383390262</v>
      </c>
      <c r="J168" s="1">
        <f>(J164-Projections!J9)*Assumptions!J36+(J165-Projections!J14)*Assumptions!J37+J167*(Assumptions!J39+Assumptions!J40)+Projections!J17*$C$163</f>
        <v>-230.21657214513147</v>
      </c>
      <c r="K168" s="1">
        <f>(K164-Projections!K9)*Assumptions!K36+(K165-Projections!K14)*Assumptions!K37+K167*(Assumptions!K39+Assumptions!K40)+Projections!K17*$C$163</f>
        <v>-252.44362662368962</v>
      </c>
      <c r="L168" s="1">
        <f>(L164-Projections!L9)*Assumptions!L36+(L165-Projections!L14)*Assumptions!L37+L167*(Assumptions!L39+Assumptions!L40)+Projections!L17*$C$163</f>
        <v>-260.01693542240025</v>
      </c>
    </row>
    <row r="169" spans="1:12" hidden="1" outlineLevel="1">
      <c r="A169" s="1" t="s">
        <v>892</v>
      </c>
      <c r="C169" s="1">
        <f>C167*(1-Assumptions!C44-Assumptions!C45+Assumptions!C46)-C168</f>
        <v>-385.26729334951807</v>
      </c>
      <c r="D169" s="1">
        <f>D167*(1-Assumptions!D44-Assumptions!D45+Assumptions!D46)-D168</f>
        <v>-672.78655147166626</v>
      </c>
      <c r="E169" s="1">
        <f>E167*(1-Assumptions!E44-Assumptions!E45+Assumptions!E46)-E168</f>
        <v>-997.5323183836374</v>
      </c>
      <c r="F169" s="1">
        <f>F167*(1-Assumptions!F44-Assumptions!F45+Assumptions!F46)-F168</f>
        <v>-1349.6955456466151</v>
      </c>
      <c r="G169" s="1">
        <f>G167*(1-Assumptions!G44-Assumptions!G45+Assumptions!G46)-G168</f>
        <v>-1727.9106482516668</v>
      </c>
      <c r="H169" s="1">
        <f>H167*(1-Assumptions!H44-Assumptions!H45+Assumptions!H46)-H168</f>
        <v>-2073.0556180424824</v>
      </c>
      <c r="I169" s="1">
        <f>I167*(1-Assumptions!I44-Assumptions!I45+Assumptions!I46)-I168</f>
        <v>-2368.9619780948647</v>
      </c>
      <c r="J169" s="1">
        <f>J167*(1-Assumptions!J44-Assumptions!J45+Assumptions!J46)-J168</f>
        <v>-2604.2849954857329</v>
      </c>
      <c r="K169" s="1">
        <f>K167*(1-Assumptions!K44-Assumptions!K45+Assumptions!K46)-K168</f>
        <v>-2768.3240983885144</v>
      </c>
      <c r="L169" s="1">
        <f>L167*(1-Assumptions!L44-Assumptions!L45+Assumptions!L46)-L168</f>
        <v>-2851.3738213401689</v>
      </c>
    </row>
    <row r="170" spans="1:12" hidden="1" outlineLevel="1">
      <c r="A170" s="1" t="s">
        <v>893</v>
      </c>
      <c r="C170" s="1">
        <f>C167*(Assumptions!C57/Assumptions!$C$9+Assumptions!C58+Assumptions!C62+Assumptions!C64+Assumptions!C65+Assumptions!C67-Assumptions!C63-Assumptions!C61-Assumptions!C66-Assumptions!C68)+C169*(Assumptions!C59-Assumptions!C60)/Assumptions!$C$9</f>
        <v>9.132529156407351</v>
      </c>
      <c r="D170" s="1">
        <f>D167*(Assumptions!D57/Assumptions!$C$9+Assumptions!D58+Assumptions!D62+Assumptions!D64+Assumptions!D65+Assumptions!D67-Assumptions!D63-Assumptions!D61-Assumptions!D66-Assumptions!D68)+D169*(Assumptions!D59-Assumptions!D60)/Assumptions!$C$9</f>
        <v>13.565594227934174</v>
      </c>
      <c r="E170" s="1">
        <f>E167*(Assumptions!E57/Assumptions!$C$9+Assumptions!E58+Assumptions!E62+Assumptions!E64+Assumptions!E65+Assumptions!E67-Assumptions!E63-Assumptions!E61-Assumptions!E66-Assumptions!E68)+E169*(Assumptions!E59-Assumptions!E60)/Assumptions!$C$9</f>
        <v>18.448918987614185</v>
      </c>
      <c r="F170" s="1">
        <f>F167*(Assumptions!F57/Assumptions!$C$9+Assumptions!F58+Assumptions!F62+Assumptions!F64+Assumptions!F65+Assumptions!F67-Assumptions!F63-Assumptions!F61-Assumptions!F66-Assumptions!F68)+F169*(Assumptions!F59-Assumptions!F60)/Assumptions!$C$9</f>
        <v>23.609765870459348</v>
      </c>
      <c r="G170" s="1">
        <f>G167*(Assumptions!G57/Assumptions!$C$9+Assumptions!G58+Assumptions!G62+Assumptions!G64+Assumptions!G65+Assumptions!G67-Assumptions!G63-Assumptions!G61-Assumptions!G66-Assumptions!G68)+G169*(Assumptions!G59-Assumptions!G60)/Assumptions!$C$9</f>
        <v>29.107201276961206</v>
      </c>
      <c r="H170" s="1">
        <f>H167*(Assumptions!H57/Assumptions!$C$9+Assumptions!H58+Assumptions!H62+Assumptions!H64+Assumptions!H65+Assumptions!H67-Assumptions!H63-Assumptions!H61-Assumptions!H66-Assumptions!H68)+H169*(Assumptions!H59-Assumptions!H60)/Assumptions!$C$9</f>
        <v>34.23173836530794</v>
      </c>
      <c r="I170" s="1">
        <f>I167*(Assumptions!I57/Assumptions!$C$9+Assumptions!I58+Assumptions!I62+Assumptions!I64+Assumptions!I65+Assumptions!I67-Assumptions!I63-Assumptions!I61-Assumptions!I66-Assumptions!I68)+I169*(Assumptions!I59-Assumptions!I60)/Assumptions!$C$9</f>
        <v>38.647588584113635</v>
      </c>
      <c r="J170" s="1">
        <f>J167*(Assumptions!J57/Assumptions!$C$9+Assumptions!J58+Assumptions!J62+Assumptions!J64+Assumptions!J65+Assumptions!J67-Assumptions!J63-Assumptions!J61-Assumptions!J66-Assumptions!J68)+J169*(Assumptions!J59-Assumptions!J60)/Assumptions!$C$9</f>
        <v>42.189432392354057</v>
      </c>
      <c r="K170" s="1">
        <f>K167*(Assumptions!K57/Assumptions!$C$9+Assumptions!K58+Assumptions!K62+Assumptions!K64+Assumptions!K65+Assumptions!K67-Assumptions!K63-Assumptions!K61-Assumptions!K66-Assumptions!K68)+K169*(Assumptions!K59-Assumptions!K60)/Assumptions!$C$9</f>
        <v>44.701447122890642</v>
      </c>
      <c r="L170" s="1">
        <f>L167*(Assumptions!L57/Assumptions!$C$9+Assumptions!L58+Assumptions!L62+Assumptions!L64+Assumptions!L65+Assumptions!L67-Assumptions!L63-Assumptions!L61-Assumptions!L66-Assumptions!L68)+L169*(Assumptions!L59-Assumptions!L60)/Assumptions!$C$9</f>
        <v>46.042490536577347</v>
      </c>
    </row>
    <row r="171" spans="1:12" hidden="1" outlineLevel="1">
      <c r="A171" s="1" t="s">
        <v>894</v>
      </c>
      <c r="C171" s="1">
        <f>C170</f>
        <v>9.132529156407351</v>
      </c>
      <c r="D171" s="1">
        <f>D170-C170</f>
        <v>4.4330650715268227</v>
      </c>
      <c r="E171" s="1">
        <f>E170-D170</f>
        <v>4.8833247596800113</v>
      </c>
      <c r="F171" s="1">
        <f>F170-E170</f>
        <v>5.1608468828451635</v>
      </c>
      <c r="G171" s="1">
        <f>G170-F170</f>
        <v>5.4974354065018574</v>
      </c>
      <c r="H171" s="1">
        <f>H170-G170</f>
        <v>5.1245370883467345</v>
      </c>
      <c r="I171" s="1">
        <f>I170-H170</f>
        <v>4.4158502188056943</v>
      </c>
      <c r="J171" s="1">
        <f>J170-I170</f>
        <v>3.5418438082404222</v>
      </c>
      <c r="K171" s="1">
        <f>K170-J170</f>
        <v>2.5120147305365848</v>
      </c>
      <c r="L171" s="1">
        <f>L170-K170</f>
        <v>1.3410434136867053</v>
      </c>
    </row>
    <row r="172" spans="1:12" hidden="1" outlineLevel="1">
      <c r="A172" s="1" t="s">
        <v>895</v>
      </c>
      <c r="C172" s="1">
        <f>C168*(1-Assumptions!C49)</f>
        <v>99.321635731950153</v>
      </c>
      <c r="D172" s="1">
        <f>D168*(1-Assumptions!D49)</f>
        <v>66.527751268886306</v>
      </c>
      <c r="E172" s="1">
        <f>E168*(1-Assumptions!E49)</f>
        <v>27.056060950261507</v>
      </c>
      <c r="F172" s="1">
        <f>F168*(1-Assumptions!F49)</f>
        <v>-21.543417737977901</v>
      </c>
      <c r="G172" s="1">
        <f>G168*(1-Assumptions!G49)</f>
        <v>-75.681604309063928</v>
      </c>
      <c r="H172" s="1">
        <f>H168*(1-Assumptions!H49)</f>
        <v>-120.4510898348743</v>
      </c>
      <c r="I172" s="1">
        <f>I168*(1-Assumptions!I49)</f>
        <v>-157.87119350917138</v>
      </c>
      <c r="J172" s="1">
        <f>J168*(1-Assumptions!J49)</f>
        <v>-186.33614097377344</v>
      </c>
      <c r="K172" s="1">
        <f>K168*(1-Assumptions!K49)</f>
        <v>-204.32660759464457</v>
      </c>
      <c r="L172" s="1">
        <f>L168*(1-Assumptions!L49)</f>
        <v>-210.45640582248384</v>
      </c>
    </row>
    <row r="173" spans="1:12" hidden="1" outlineLevel="1">
      <c r="A173" s="1" t="s">
        <v>896</v>
      </c>
      <c r="C173" s="1">
        <f>C167*Assumptions!C53</f>
        <v>-7.6134725858145442</v>
      </c>
      <c r="D173" s="1">
        <f>D167*Assumptions!D53</f>
        <v>-16.922070098832865</v>
      </c>
      <c r="E173" s="1">
        <f>E167*Assumptions!E53</f>
        <v>-27.624223585151636</v>
      </c>
      <c r="F173" s="1">
        <f>F167*Assumptions!F53</f>
        <v>-39.435087082391725</v>
      </c>
      <c r="G173" s="1">
        <f>G167*Assumptions!G53</f>
        <v>-52.188478816850861</v>
      </c>
      <c r="H173" s="1">
        <f>H167*Assumptions!H53</f>
        <v>-63.662667758619854</v>
      </c>
      <c r="I173" s="1">
        <f>I167*Assumptions!I53</f>
        <v>-73.465867328356623</v>
      </c>
      <c r="J173" s="1">
        <f>J167*Assumptions!J53</f>
        <v>-81.216175406084972</v>
      </c>
      <c r="K173" s="1">
        <f>K167*Assumptions!K53</f>
        <v>-86.553207173100191</v>
      </c>
      <c r="L173" s="1">
        <f>L167*Assumptions!L53</f>
        <v>-89.149803388293165</v>
      </c>
    </row>
    <row r="174" spans="1:12" hidden="1" outlineLevel="1">
      <c r="A174" s="1" t="s">
        <v>897</v>
      </c>
      <c r="C174" s="1">
        <f>C167*Assumptions!C55</f>
        <v>-1.3887194117616648</v>
      </c>
      <c r="D174" s="1">
        <f>D167*Assumptions!D55</f>
        <v>-3.0866345111987594</v>
      </c>
      <c r="E174" s="1">
        <f>E167*Assumptions!E55</f>
        <v>-5.0387382492216863</v>
      </c>
      <c r="F174" s="1">
        <f>F167*Assumptions!F55</f>
        <v>-7.1930738987444558</v>
      </c>
      <c r="G174" s="1">
        <f>G167*Assumptions!G55</f>
        <v>-9.5193294237782187</v>
      </c>
      <c r="H174" s="1">
        <f>H167*Assumptions!H55</f>
        <v>-11.612254660987942</v>
      </c>
      <c r="I174" s="1">
        <f>I167*Assumptions!I55</f>
        <v>-13.400386605566363</v>
      </c>
      <c r="J174" s="1">
        <f>J167*Assumptions!J55</f>
        <v>-14.814065206672547</v>
      </c>
      <c r="K174" s="1">
        <f>K167*Assumptions!K55</f>
        <v>-15.78755523142841</v>
      </c>
      <c r="L174" s="1">
        <f>L167*Assumptions!L55</f>
        <v>-16.261181888371258</v>
      </c>
    </row>
    <row r="175" spans="1:12" hidden="1" outlineLevel="1">
      <c r="A175" s="1" t="s">
        <v>898</v>
      </c>
      <c r="C175" s="1">
        <f>Assumptions!C54</f>
        <v>2.9000000000000001E-2</v>
      </c>
      <c r="D175" s="1">
        <f>Assumptions!D54</f>
        <v>0.03</v>
      </c>
      <c r="E175" s="1">
        <f>Assumptions!E54</f>
        <v>0.03</v>
      </c>
      <c r="F175" s="1">
        <f>Assumptions!F54</f>
        <v>2.9000000000000001E-2</v>
      </c>
      <c r="G175" s="1">
        <f>Assumptions!G54</f>
        <v>2.8000000000000001E-2</v>
      </c>
      <c r="H175" s="1">
        <f>Assumptions!$G$54+($L175-Assumptions!$G$54)*H$33</f>
        <v>3.0316720043756837E-2</v>
      </c>
      <c r="I175" s="1">
        <f>Assumptions!$G$54+($L175-Assumptions!$G$54)*I$33</f>
        <v>3.2633440087513677E-2</v>
      </c>
      <c r="J175" s="1">
        <f>Assumptions!$G$54+($L175-Assumptions!$G$54)*J$33</f>
        <v>3.4950160131270516E-2</v>
      </c>
      <c r="K175" s="1">
        <f>Assumptions!$G$54+($L175-Assumptions!$G$54)*K$33</f>
        <v>3.7266880175027349E-2</v>
      </c>
      <c r="L175" s="1">
        <f>((DCF!$L$9+L172)*DCF!$C$22/DCF!$C$24+DCF!$L$10+L173-(DCF!$L$12+L171)-(-Projections!$L$122+L174))/(Projections!$L$20+L167)</f>
        <v>3.9583600218784189E-2</v>
      </c>
    </row>
    <row r="176" spans="1:12" hidden="1" outlineLevel="1">
      <c r="A176" s="1" t="s">
        <v>899</v>
      </c>
      <c r="C176" s="1">
        <f>DCF!C13+C172+C173-((Projections!C20+C167)*C175+Projections!C121)-C174-C171</f>
        <v>9513.5614742004436</v>
      </c>
      <c r="D176" s="1">
        <f>DCF!D13+D172+D173-((Projections!D20+D167)*D175+Projections!D121)-D174-D171</f>
        <v>11446.861216601088</v>
      </c>
      <c r="E176" s="1">
        <f>DCF!E13+E172+E173-((Projections!E20+E167)*E175+Projections!E121)-E174-E171</f>
        <v>12362.307267316753</v>
      </c>
      <c r="F176" s="1">
        <f>DCF!F13+F172+F173-((Projections!F20+F167)*F175+Projections!F121)-F174-F171</f>
        <v>13318.253501229887</v>
      </c>
      <c r="G176" s="1">
        <f>DCF!G13+G172+G173-((Projections!G20+G167)*G175+Projections!G121)-G174-G171</f>
        <v>14149.261550019521</v>
      </c>
      <c r="H176" s="1">
        <f>DCF!H13+H172+H173-((Projections!H20+H167)*H175+Projections!H121)-H174-H171</f>
        <v>14347.123716696628</v>
      </c>
      <c r="I176" s="1">
        <f>DCF!I13+I172+I173-((Projections!I20+I167)*I175+Projections!I121)-I174-I171</f>
        <v>14512.63391370677</v>
      </c>
      <c r="J176" s="1">
        <f>DCF!J13+J172+J173-((Projections!J20+J167)*J175+Projections!J121)-J174-J171</f>
        <v>14639.417274519978</v>
      </c>
      <c r="K176" s="1">
        <f>DCF!K13+K172+K173-((Projections!K20+K167)*K175+Projections!K121)-K174-K171</f>
        <v>14725.498318148433</v>
      </c>
      <c r="L176" s="1">
        <f>(DCF!$L$9+L172)*(1-DCF!$C$22/DCF!$C$24)</f>
        <v>14769.241957010014</v>
      </c>
    </row>
    <row r="177" spans="1:12" hidden="1" outlineLevel="1">
      <c r="A177" s="1" t="s">
        <v>30</v>
      </c>
      <c r="B177" s="1">
        <f>(SUMPRODUCT(C176:K176,DCF!$C$14:$K$14,DCF!$C$17:$K$17)+L176*DCF!$L$17*(1+(1+DCF!$C$22)/(DCF!$C$21-DCF!$C$22))+DCF!$C$44)/DCF!$C$46</f>
        <v>149.4305111004567</v>
      </c>
    </row>
    <row r="178" spans="1:12" hidden="1" outlineLevel="1"/>
    <row r="179" spans="1:12" hidden="1" outlineLevel="1">
      <c r="A179" s="1" t="s">
        <v>908</v>
      </c>
      <c r="B179" s="35">
        <f>$B$18-Assumptions!$C$28</f>
        <v>-1.0000000000000009E-2</v>
      </c>
      <c r="C179" s="35">
        <f>$G$16-Assumptions!$C$38</f>
        <v>1.0000000000000009E-2</v>
      </c>
    </row>
    <row r="180" spans="1:12" hidden="1" outlineLevel="1">
      <c r="A180" s="1" t="s">
        <v>887</v>
      </c>
      <c r="C180" s="1">
        <f>Projections!B9*(1+Assumptions!C21+$B$179*C$32)</f>
        <v>14439.300000000005</v>
      </c>
      <c r="D180" s="1">
        <f>C180*(1+Assumptions!D21+$B$179*D$32)</f>
        <v>15450.051000000007</v>
      </c>
      <c r="E180" s="1">
        <f>D180*(1+Assumptions!E21+$B$179*E$32)</f>
        <v>16377.054060000008</v>
      </c>
      <c r="F180" s="1">
        <f>E180*(1+Assumptions!F21+$B$179*F$32)</f>
        <v>17195.90676300001</v>
      </c>
      <c r="G180" s="1">
        <f>F180*(1+Assumptions!G21+$B$179*G$32)</f>
        <v>17883.743033520012</v>
      </c>
      <c r="H180" s="1">
        <f>G180*(1+Assumptions!H21+$B$179*H$32)</f>
        <v>18563.325268793771</v>
      </c>
      <c r="I180" s="1">
        <f>H180*(1+Assumptions!I21+$B$179*I$32)</f>
        <v>19231.604978470346</v>
      </c>
      <c r="J180" s="1">
        <f>I180*(1+Assumptions!J21+$B$179*J$32)</f>
        <v>19885.479547738338</v>
      </c>
      <c r="K180" s="1">
        <f>J180*(1+Assumptions!K21+$B$179*K$32)</f>
        <v>20521.814893265964</v>
      </c>
      <c r="L180" s="1">
        <f>K180*(1+Assumptions!L21+$B$179*L$32)</f>
        <v>21137.469340063944</v>
      </c>
    </row>
    <row r="181" spans="1:12" hidden="1" outlineLevel="1">
      <c r="A181" s="1" t="s">
        <v>888</v>
      </c>
      <c r="C181" s="1">
        <f>Projections!B14*(1+Assumptions!C28+$B$179*C$32)</f>
        <v>19435.870769230773</v>
      </c>
      <c r="D181" s="1">
        <f>C181*(1+Assumptions!D28+$B$179*D$32)</f>
        <v>21573.816553846158</v>
      </c>
      <c r="E181" s="1">
        <f>D181*(1+Assumptions!E28+$B$179*E$32)</f>
        <v>23299.721878153854</v>
      </c>
      <c r="F181" s="1">
        <f>E181*(1+Assumptions!F28+$B$179*F$32)</f>
        <v>24697.705190843088</v>
      </c>
      <c r="G181" s="1">
        <f>F181*(1+Assumptions!G28+$B$179*G$32)</f>
        <v>25932.590450385243</v>
      </c>
      <c r="H181" s="1">
        <f>G181*(1+Assumptions!H28+$B$179*H$32)</f>
        <v>27125.489611102967</v>
      </c>
      <c r="I181" s="1">
        <f>H181*(1+Assumptions!I28+$B$179*I$32)</f>
        <v>28264.760174769293</v>
      </c>
      <c r="J181" s="1">
        <f>I181*(1+Assumptions!J28+$B$179*J$32)</f>
        <v>29338.821061410526</v>
      </c>
      <c r="K181" s="1">
        <f>J181*(1+Assumptions!K28+$B$179*K$32)</f>
        <v>30336.340977498487</v>
      </c>
      <c r="L181" s="1">
        <f>K181*(1+Assumptions!L28+$B$179*L$32)</f>
        <v>31246.431206823443</v>
      </c>
    </row>
    <row r="182" spans="1:12" hidden="1" outlineLevel="1">
      <c r="A182" s="1" t="s">
        <v>889</v>
      </c>
      <c r="C182" s="1">
        <f>(C180-Projections!C9)+(C181-Projections!C14)</f>
        <v>-302.22791208791205</v>
      </c>
      <c r="D182" s="1">
        <f>(D180-Projections!D9)+(D181-Projections!D14)</f>
        <v>-671.74628351648244</v>
      </c>
      <c r="E182" s="1">
        <f>(E180-Projections!E9)+(E181-Projections!E14)</f>
        <v>-1096.5838942857135</v>
      </c>
      <c r="F182" s="1">
        <f>(F180-Projections!F9)+(F181-Projections!F14)</f>
        <v>-1565.4333679643933</v>
      </c>
      <c r="G182" s="1">
        <f>(G180-Projections!G9)+(G181-Projections!G14)</f>
        <v>-2071.6978763736588</v>
      </c>
      <c r="H182" s="1">
        <f>(H180-Projections!H9)+(H181-Projections!H14)</f>
        <v>-2527.1825619341362</v>
      </c>
      <c r="I182" s="1">
        <f>(I180-Projections!I9)+(I181-Projections!I14)</f>
        <v>-2916.334884261134</v>
      </c>
      <c r="J182" s="1">
        <f>(J180-Projections!J9)+(J181-Projections!J14)</f>
        <v>-3223.9946810185575</v>
      </c>
      <c r="K182" s="1">
        <f>(K180-Projections!K9)+(K181-Projections!K14)</f>
        <v>-3435.8559505655467</v>
      </c>
      <c r="L182" s="1">
        <f>(L180-Projections!L9)+(L181-Projections!L14)</f>
        <v>-3538.9316290825118</v>
      </c>
    </row>
    <row r="183" spans="1:12" hidden="1" outlineLevel="1">
      <c r="A183" s="1" t="s">
        <v>890</v>
      </c>
      <c r="C183" s="1">
        <f>C182*(1+Assumptions!C32)</f>
        <v>-293.93312048842097</v>
      </c>
      <c r="D183" s="1">
        <f>D182*(1+Assumptions!D32)</f>
        <v>-653.30988103132393</v>
      </c>
      <c r="E183" s="1">
        <f>E182*(1+Assumptions!E32)</f>
        <v>-1066.4876175665318</v>
      </c>
      <c r="F183" s="1">
        <f>F182*(1+Assumptions!F32)</f>
        <v>-1522.4692900920061</v>
      </c>
      <c r="G183" s="1">
        <f>G182*(1+Assumptions!G32)</f>
        <v>-2014.8391235770966</v>
      </c>
      <c r="H183" s="1">
        <f>H182*(1+Assumptions!H32)</f>
        <v>-2457.8228110749433</v>
      </c>
      <c r="I183" s="1">
        <f>I182*(1+Assumptions!I32)</f>
        <v>-2836.2946592132384</v>
      </c>
      <c r="J183" s="1">
        <f>J182*(1+Assumptions!J32)</f>
        <v>-3135.5105836624607</v>
      </c>
      <c r="K183" s="1">
        <f>K182*(1+Assumptions!K32)</f>
        <v>-3341.5572179338546</v>
      </c>
      <c r="L183" s="1">
        <f>L182*(1+Assumptions!L32)</f>
        <v>-3441.8039344718691</v>
      </c>
    </row>
    <row r="184" spans="1:12" hidden="1" outlineLevel="1">
      <c r="A184" s="1" t="s">
        <v>891</v>
      </c>
      <c r="C184" s="1">
        <f>(C180-Projections!C9)*Assumptions!C36+(C181-Projections!C14)*Assumptions!C37+C183*(Assumptions!C39+Assumptions!C40)+Projections!C17*$C$179</f>
        <v>276.59255242798571</v>
      </c>
      <c r="D184" s="1">
        <f>(D180-Projections!D9)*Assumptions!D36+(D181-Projections!D14)*Assumptions!D37+D183*(Assumptions!D39+Assumptions!D40)+Projections!D17*$C$179</f>
        <v>250.22807501934977</v>
      </c>
      <c r="E184" s="1">
        <f>(E180-Projections!E9)*Assumptions!E36+(E181-Projections!E14)*Assumptions!E37+E183*(Assumptions!E39+Assumptions!E40)+Projections!E17*$C$179</f>
        <v>211.54318746349301</v>
      </c>
      <c r="F184" s="1">
        <f>(F180-Projections!F9)*Assumptions!F36+(F181-Projections!F14)*Assumptions!F37+F183*(Assumptions!F39+Assumptions!F40)+Projections!F17*$C$179</f>
        <v>160.40476653144185</v>
      </c>
      <c r="G184" s="1">
        <f>(G180-Projections!G9)*Assumptions!G36+(G181-Projections!G14)*Assumptions!G37+G183*(Assumptions!G39+Assumptions!G40)+Projections!G17*$C$179</f>
        <v>100.99839803109171</v>
      </c>
      <c r="H184" s="1">
        <f>(H180-Projections!H9)*Assumptions!H36+(H181-Projections!H14)*Assumptions!H37+H183*(Assumptions!H39+Assumptions!H40)+Projections!H17*$C$179</f>
        <v>53.077202388592866</v>
      </c>
      <c r="I184" s="1">
        <f>(I180-Projections!I9)*Assumptions!I36+(I181-Projections!I14)*Assumptions!I37+I183*(Assumptions!I39+Assumptions!I40)+Projections!I17*$C$179</f>
        <v>14.113174324039107</v>
      </c>
      <c r="J184" s="1">
        <f>(J180-Projections!J9)*Assumptions!J36+(J181-Projections!J14)*Assumptions!J37+J183*(Assumptions!J39+Assumptions!J40)+Projections!J17*$C$179</f>
        <v>-13.943510669819716</v>
      </c>
      <c r="K184" s="1">
        <f>(K180-Projections!K9)*Assumptions!K36+(K181-Projections!K14)*Assumptions!K37+K183*(Assumptions!K39+Assumptions!K40)+Projections!K17*$C$179</f>
        <v>-29.249827181167916</v>
      </c>
      <c r="L184" s="1">
        <f>(L180-Projections!L9)*Assumptions!L36+(L181-Projections!L14)*Assumptions!L37+L183*(Assumptions!L39+Assumptions!L40)+Projections!L17*$C$179</f>
        <v>-30.127321996602859</v>
      </c>
    </row>
    <row r="185" spans="1:12" hidden="1" outlineLevel="1">
      <c r="A185" s="1" t="s">
        <v>892</v>
      </c>
      <c r="C185" s="1">
        <f>C183*(1-Assumptions!C44-Assumptions!C45+Assumptions!C46)-C184</f>
        <v>-542.30809334951823</v>
      </c>
      <c r="D185" s="1">
        <f>D183*(1-Assumptions!D44-Assumptions!D45+Assumptions!D46)-D184</f>
        <v>-840.82020747166644</v>
      </c>
      <c r="E185" s="1">
        <f>E183*(1-Assumptions!E44-Assumptions!E45+Assumptions!E46)-E184</f>
        <v>-1175.6479937436377</v>
      </c>
      <c r="F185" s="1">
        <f>F183*(1-Assumptions!F44-Assumptions!F45+Assumptions!F46)-F184</f>
        <v>-1536.7170047746154</v>
      </c>
      <c r="G185" s="1">
        <f>G183*(1-Assumptions!G44-Assumptions!G45+Assumptions!G46)-G184</f>
        <v>-1922.412965744787</v>
      </c>
      <c r="H185" s="1">
        <f>H183*(1-Assumptions!H44-Assumptions!H45+Assumptions!H46)-H184</f>
        <v>-2274.9490236003412</v>
      </c>
      <c r="I185" s="1">
        <f>I183*(1-Assumptions!I44-Assumptions!I45+Assumptions!I46)-I184</f>
        <v>-2578.1235462528061</v>
      </c>
      <c r="J185" s="1">
        <f>J183*(1-Assumptions!J44-Assumptions!J45+Assumptions!J46)-J184</f>
        <v>-2820.5580569610447</v>
      </c>
      <c r="K185" s="1">
        <f>K183*(1-Assumptions!K44-Assumptions!K45+Assumptions!K46)-K184</f>
        <v>-2991.5178978310364</v>
      </c>
      <c r="L185" s="1">
        <f>L183*(1-Assumptions!L44-Assumptions!L45+Assumptions!L46)-L184</f>
        <v>-3081.2634347659664</v>
      </c>
    </row>
    <row r="186" spans="1:12" hidden="1" outlineLevel="1">
      <c r="A186" s="1" t="s">
        <v>893</v>
      </c>
      <c r="C186" s="1">
        <f>C183*(Assumptions!C57/Assumptions!$C$9+Assumptions!C58+Assumptions!C62+Assumptions!C64+Assumptions!C65+Assumptions!C67-Assumptions!C63-Assumptions!C61-Assumptions!C66-Assumptions!C68)+C185*(Assumptions!C59-Assumptions!C60)/Assumptions!$C$9</f>
        <v>14.893668549154967</v>
      </c>
      <c r="D186" s="1">
        <f>D183*(Assumptions!D57/Assumptions!$C$9+Assumptions!D58+Assumptions!D62+Assumptions!D64+Assumptions!D65+Assumptions!D67-Assumptions!D63-Assumptions!D61-Assumptions!D66-Assumptions!D68)+D185*(Assumptions!D59-Assumptions!D60)/Assumptions!$C$9</f>
        <v>19.730013378174128</v>
      </c>
      <c r="E186" s="1">
        <f>E183*(Assumptions!E57/Assumptions!$C$9+Assumptions!E58+Assumptions!E62+Assumptions!E64+Assumptions!E65+Assumptions!E67-Assumptions!E63-Assumptions!E61-Assumptions!E66-Assumptions!E68)+E185*(Assumptions!E59-Assumptions!E60)/Assumptions!$C$9</f>
        <v>24.983203286868537</v>
      </c>
      <c r="F186" s="1">
        <f>F183*(Assumptions!F57/Assumptions!$C$9+Assumptions!F58+Assumptions!F62+Assumptions!F64+Assumptions!F65+Assumptions!F67-Assumptions!F63-Assumptions!F61-Assumptions!F66-Assumptions!F68)+F185*(Assumptions!F59-Assumptions!F60)/Assumptions!$C$9</f>
        <v>30.470764384676407</v>
      </c>
      <c r="G186" s="1">
        <f>G183*(Assumptions!G57/Assumptions!$C$9+Assumptions!G58+Assumptions!G62+Assumptions!G64+Assumptions!G65+Assumptions!G67-Assumptions!G63-Assumptions!G61-Assumptions!G66-Assumptions!G68)+G185*(Assumptions!G59-Assumptions!G60)/Assumptions!$C$9</f>
        <v>36.242639731746955</v>
      </c>
      <c r="H186" s="1">
        <f>H183*(Assumptions!H57/Assumptions!$C$9+Assumptions!H58+Assumptions!H62+Assumptions!H64+Assumptions!H65+Assumptions!H67-Assumptions!H63-Assumptions!H61-Assumptions!H66-Assumptions!H68)+H185*(Assumptions!H59-Assumptions!H60)/Assumptions!$C$9</f>
        <v>41.638323481375544</v>
      </c>
      <c r="I186" s="1">
        <f>I183*(Assumptions!I57/Assumptions!$C$9+Assumptions!I58+Assumptions!I62+Assumptions!I64+Assumptions!I65+Assumptions!I67-Assumptions!I63-Assumptions!I61-Assumptions!I66-Assumptions!I68)+I185*(Assumptions!I59-Assumptions!I60)/Assumptions!$C$9</f>
        <v>46.320810764359663</v>
      </c>
      <c r="J186" s="1">
        <f>J183*(Assumptions!J57/Assumptions!$C$9+Assumptions!J58+Assumptions!J62+Assumptions!J64+Assumptions!J65+Assumptions!J67-Assumptions!J63-Assumptions!J61-Assumptions!J66-Assumptions!J68)+J185*(Assumptions!J59-Assumptions!J60)/Assumptions!$C$9</f>
        <v>50.123544126728468</v>
      </c>
      <c r="K186" s="1">
        <f>K183*(Assumptions!K57/Assumptions!$C$9+Assumptions!K58+Assumptions!K62+Assumptions!K64+Assumptions!K65+Assumptions!K67-Assumptions!K63-Assumptions!K61-Assumptions!K66-Assumptions!K68)+K185*(Assumptions!K59-Assumptions!K60)/Assumptions!$C$9</f>
        <v>52.889450432765045</v>
      </c>
      <c r="L186" s="1">
        <f>L183*(Assumptions!L57/Assumptions!$C$9+Assumptions!L58+Assumptions!L62+Assumptions!L64+Assumptions!L65+Assumptions!L67-Assumptions!L63-Assumptions!L61-Assumptions!L66-Assumptions!L68)+L185*(Assumptions!L59-Assumptions!L60)/Assumptions!$C$9</f>
        <v>54.476133945747975</v>
      </c>
    </row>
    <row r="187" spans="1:12" hidden="1" outlineLevel="1">
      <c r="A187" s="1" t="s">
        <v>894</v>
      </c>
      <c r="C187" s="1">
        <f>C186</f>
        <v>14.893668549154967</v>
      </c>
      <c r="D187" s="1">
        <f>D186-C186</f>
        <v>4.8363448290191613</v>
      </c>
      <c r="E187" s="1">
        <f>E186-D186</f>
        <v>5.2531899086944094</v>
      </c>
      <c r="F187" s="1">
        <f>F186-E186</f>
        <v>5.4875610978078697</v>
      </c>
      <c r="G187" s="1">
        <f>G186-F186</f>
        <v>5.7718753470705479</v>
      </c>
      <c r="H187" s="1">
        <f>H186-G186</f>
        <v>5.3956837496285885</v>
      </c>
      <c r="I187" s="1">
        <f>I186-H186</f>
        <v>4.6824872829841198</v>
      </c>
      <c r="J187" s="1">
        <f>J186-I186</f>
        <v>3.8027333623688051</v>
      </c>
      <c r="K187" s="1">
        <f>K186-J186</f>
        <v>2.7659063060365767</v>
      </c>
      <c r="L187" s="1">
        <f>L186-K186</f>
        <v>1.5866835129829298</v>
      </c>
    </row>
    <row r="188" spans="1:12" hidden="1" outlineLevel="1">
      <c r="A188" s="1" t="s">
        <v>895</v>
      </c>
      <c r="C188" s="1">
        <f>C184*(1-Assumptions!C49)</f>
        <v>229.78855751170039</v>
      </c>
      <c r="D188" s="1">
        <f>D184*(1-Assumptions!D49)</f>
        <v>202.53335121768538</v>
      </c>
      <c r="E188" s="1">
        <f>E184*(1-Assumptions!E49)</f>
        <v>171.22199689598853</v>
      </c>
      <c r="F188" s="1">
        <f>F184*(1-Assumptions!F49)</f>
        <v>129.83081500503548</v>
      </c>
      <c r="G188" s="1">
        <f>G184*(1-Assumptions!G49)</f>
        <v>81.747597743669985</v>
      </c>
      <c r="H188" s="1">
        <f>H184*(1-Assumptions!H49)</f>
        <v>42.960421895863497</v>
      </c>
      <c r="I188" s="1">
        <f>I184*(1-Assumptions!I49)</f>
        <v>11.423132643872982</v>
      </c>
      <c r="J188" s="1">
        <f>J184*(1-Assumptions!J49)</f>
        <v>-11.285807731525578</v>
      </c>
      <c r="K188" s="1">
        <f>K184*(1-Assumptions!K49)</f>
        <v>-23.674663688644777</v>
      </c>
      <c r="L188" s="1">
        <f>L184*(1-Assumptions!L49)</f>
        <v>-24.384903599304046</v>
      </c>
    </row>
    <row r="189" spans="1:12" hidden="1" outlineLevel="1">
      <c r="A189" s="1" t="s">
        <v>896</v>
      </c>
      <c r="C189" s="1">
        <f>C183*Assumptions!C53</f>
        <v>-7.6134725858145442</v>
      </c>
      <c r="D189" s="1">
        <f>D183*Assumptions!D53</f>
        <v>-16.922070098832865</v>
      </c>
      <c r="E189" s="1">
        <f>E183*Assumptions!E53</f>
        <v>-27.624223585151636</v>
      </c>
      <c r="F189" s="1">
        <f>F183*Assumptions!F53</f>
        <v>-39.435087082391725</v>
      </c>
      <c r="G189" s="1">
        <f>G183*Assumptions!G53</f>
        <v>-52.188478816850861</v>
      </c>
      <c r="H189" s="1">
        <f>H183*Assumptions!H53</f>
        <v>-63.662667758619854</v>
      </c>
      <c r="I189" s="1">
        <f>I183*Assumptions!I53</f>
        <v>-73.465867328356623</v>
      </c>
      <c r="J189" s="1">
        <f>J183*Assumptions!J53</f>
        <v>-81.216175406084972</v>
      </c>
      <c r="K189" s="1">
        <f>K183*Assumptions!K53</f>
        <v>-86.553207173100191</v>
      </c>
      <c r="L189" s="1">
        <f>L183*Assumptions!L53</f>
        <v>-89.149803388293165</v>
      </c>
    </row>
    <row r="190" spans="1:12" hidden="1" outlineLevel="1">
      <c r="A190" s="1" t="s">
        <v>897</v>
      </c>
      <c r="C190" s="1">
        <f>C183*Assumptions!C55</f>
        <v>-1.3887194117616648</v>
      </c>
      <c r="D190" s="1">
        <f>D183*Assumptions!D55</f>
        <v>-3.0866345111987594</v>
      </c>
      <c r="E190" s="1">
        <f>E183*Assumptions!E55</f>
        <v>-5.0387382492216863</v>
      </c>
      <c r="F190" s="1">
        <f>F183*Assumptions!F55</f>
        <v>-7.1930738987444558</v>
      </c>
      <c r="G190" s="1">
        <f>G183*Assumptions!G55</f>
        <v>-9.5193294237782187</v>
      </c>
      <c r="H190" s="1">
        <f>H183*Assumptions!H55</f>
        <v>-11.612254660987942</v>
      </c>
      <c r="I190" s="1">
        <f>I183*Assumptions!I55</f>
        <v>-13.400386605566363</v>
      </c>
      <c r="J190" s="1">
        <f>J183*Assumptions!J55</f>
        <v>-14.814065206672547</v>
      </c>
      <c r="K190" s="1">
        <f>K183*Assumptions!K55</f>
        <v>-15.78755523142841</v>
      </c>
      <c r="L190" s="1">
        <f>L183*Assumptions!L55</f>
        <v>-16.261181888371258</v>
      </c>
    </row>
    <row r="191" spans="1:12" hidden="1" outlineLevel="1">
      <c r="A191" s="1" t="s">
        <v>898</v>
      </c>
      <c r="C191" s="1">
        <f>Assumptions!C54</f>
        <v>2.9000000000000001E-2</v>
      </c>
      <c r="D191" s="1">
        <f>Assumptions!D54</f>
        <v>0.03</v>
      </c>
      <c r="E191" s="1">
        <f>Assumptions!E54</f>
        <v>0.03</v>
      </c>
      <c r="F191" s="1">
        <f>Assumptions!F54</f>
        <v>2.9000000000000001E-2</v>
      </c>
      <c r="G191" s="1">
        <f>Assumptions!G54</f>
        <v>2.8000000000000001E-2</v>
      </c>
      <c r="H191" s="1">
        <f>Assumptions!$G$54+($L191-Assumptions!$G$54)*H$33</f>
        <v>3.0355253245334612E-2</v>
      </c>
      <c r="I191" s="1">
        <f>Assumptions!$G$54+($L191-Assumptions!$G$54)*I$33</f>
        <v>3.2710506490669228E-2</v>
      </c>
      <c r="J191" s="1">
        <f>Assumptions!$G$54+($L191-Assumptions!$G$54)*J$33</f>
        <v>3.5065759736003843E-2</v>
      </c>
      <c r="K191" s="1">
        <f>Assumptions!$G$54+($L191-Assumptions!$G$54)*K$33</f>
        <v>3.7421012981338458E-2</v>
      </c>
      <c r="L191" s="1">
        <f>((DCF!$L$9+L188)*DCF!$C$22/DCF!$C$24+DCF!$L$10+L189-(DCF!$L$12+L187)-(-Projections!$L$122+L190))/(Projections!$L$20+L183)</f>
        <v>3.9776266226673067E-2</v>
      </c>
    </row>
    <row r="192" spans="1:12" hidden="1" outlineLevel="1">
      <c r="A192" s="1" t="s">
        <v>899</v>
      </c>
      <c r="C192" s="1">
        <f>DCF!C13+C188+C189-((Projections!C20+C183)*C191+Projections!C121)-C190-C187</f>
        <v>9638.2672565874454</v>
      </c>
      <c r="D192" s="1">
        <f>DCF!D13+D188+D189-((Projections!D20+D183)*D191+Projections!D121)-D190-D187</f>
        <v>11582.463536792397</v>
      </c>
      <c r="E192" s="1">
        <f>DCF!E13+E188+E189-((Projections!E20+E183)*E191+Projections!E121)-E190-E187</f>
        <v>12506.103338113466</v>
      </c>
      <c r="F192" s="1">
        <f>DCF!F13+F188+F189-((Projections!F20+F183)*F191+Projections!F121)-F190-F187</f>
        <v>13469.301019757939</v>
      </c>
      <c r="G192" s="1">
        <f>DCF!G13+G188+G189-((Projections!G20+G183)*G191+Projections!G121)-G190-G187</f>
        <v>14306.416312131685</v>
      </c>
      <c r="H192" s="1">
        <f>DCF!H13+H188+H189-((Projections!H20+H183)*H191+Projections!H121)-H190-H187</f>
        <v>14505.388744965527</v>
      </c>
      <c r="I192" s="1">
        <f>DCF!I13+I188+I189-((Projections!I20+I183)*I191+Projections!I121)-I190-I187</f>
        <v>14671.542430368761</v>
      </c>
      <c r="J192" s="1">
        <f>DCF!J13+J188+J189-((Projections!J20+J183)*J191+Projections!J121)-J190-J187</f>
        <v>14798.493673265702</v>
      </c>
      <c r="K192" s="1">
        <f>DCF!K13+K188+K189-((Projections!K20+K183)*K191+Projections!K121)-K190-K187</f>
        <v>14884.262620350439</v>
      </c>
      <c r="L192" s="1">
        <f>(DCF!$L$9+L188)*(1-DCF!$C$22/DCF!$C$24)</f>
        <v>14927.214365843463</v>
      </c>
    </row>
    <row r="193" spans="1:12" hidden="1" outlineLevel="1">
      <c r="A193" s="1" t="s">
        <v>30</v>
      </c>
      <c r="B193" s="1">
        <f>(SUMPRODUCT(C192:K192,DCF!$C$14:$K$14,DCF!$C$17:$K$17)+L192*DCF!$L$17*(1+(1+DCF!$C$22)/(DCF!$C$21-DCF!$C$22))+DCF!$C$44)/DCF!$C$46</f>
        <v>151.2957971660326</v>
      </c>
    </row>
    <row r="194" spans="1:12" hidden="1" outlineLevel="1"/>
    <row r="195" spans="1:12" hidden="1" outlineLevel="1">
      <c r="A195" s="1" t="s">
        <v>909</v>
      </c>
      <c r="B195" s="35">
        <f>$B$19-Assumptions!$C$28</f>
        <v>0</v>
      </c>
      <c r="C195" s="35">
        <f>$C$16-Assumptions!$C$38</f>
        <v>-1.0000000000000009E-2</v>
      </c>
    </row>
    <row r="196" spans="1:12" hidden="1" outlineLevel="1">
      <c r="A196" s="1" t="s">
        <v>887</v>
      </c>
      <c r="C196" s="1">
        <f>Projections!B9*(1+Assumptions!C21+$B$195*C$32)</f>
        <v>14576.817142857148</v>
      </c>
      <c r="D196" s="1">
        <f>C196*(1+Assumptions!D21+$B$195*D$32)</f>
        <v>15742.96251428572</v>
      </c>
      <c r="E196" s="1">
        <f>D196*(1+Assumptions!E21+$B$195*E$32)</f>
        <v>16844.969890285724</v>
      </c>
      <c r="F196" s="1">
        <f>E196*(1+Assumptions!F21+$B$195*F$32)</f>
        <v>17855.668083702869</v>
      </c>
      <c r="G196" s="1">
        <f>F196*(1+Assumptions!G21+$B$195*G$32)</f>
        <v>18748.451487888015</v>
      </c>
      <c r="H196" s="1">
        <f>G196*(1+Assumptions!H21+$B$195*H$32)</f>
        <v>19610.880256330864</v>
      </c>
      <c r="I196" s="1">
        <f>H196*(1+Assumptions!I21+$B$195*I$32)</f>
        <v>20434.53722709676</v>
      </c>
      <c r="J196" s="1">
        <f>I196*(1+Assumptions!J21+$B$195*J$32)</f>
        <v>21211.049641726437</v>
      </c>
      <c r="K196" s="1">
        <f>J196*(1+Assumptions!K21+$B$195*K$32)</f>
        <v>21932.225329545137</v>
      </c>
      <c r="L196" s="1">
        <f>K196*(1+Assumptions!L21+$B$195*L$32)</f>
        <v>22590.192089431494</v>
      </c>
    </row>
    <row r="197" spans="1:12" hidden="1" outlineLevel="1">
      <c r="A197" s="1" t="s">
        <v>888</v>
      </c>
      <c r="C197" s="1">
        <f>Projections!B14*(1+Assumptions!C28+$B$195*C$32)</f>
        <v>19600.581538461542</v>
      </c>
      <c r="D197" s="1">
        <f>C197*(1+Assumptions!D28+$B$195*D$32)</f>
        <v>21952.651323076927</v>
      </c>
      <c r="E197" s="1">
        <f>D197*(1+Assumptions!E28+$B$195*E$32)</f>
        <v>23928.389942153852</v>
      </c>
      <c r="F197" s="1">
        <f>E197*(1+Assumptions!F28+$B$195*F$32)</f>
        <v>25603.377238104622</v>
      </c>
      <c r="G197" s="1">
        <f>F197*(1+Assumptions!G28+$B$195*G$32)</f>
        <v>27139.579872390899</v>
      </c>
      <c r="H197" s="1">
        <f>G197*(1+Assumptions!H28+$B$195*H$32)</f>
        <v>28605.11718550001</v>
      </c>
      <c r="I197" s="1">
        <f>H197*(1+Assumptions!I28+$B$195*I$32)</f>
        <v>29978.162810404014</v>
      </c>
      <c r="J197" s="1">
        <f>I197*(1+Assumptions!J28+$B$195*J$32)</f>
        <v>31237.245648440985</v>
      </c>
      <c r="K197" s="1">
        <f>J197*(1+Assumptions!K28+$B$195*K$32)</f>
        <v>32361.78649178486</v>
      </c>
      <c r="L197" s="1">
        <f>K197*(1+Assumptions!L28+$B$195*L$32)</f>
        <v>33332.640086538406</v>
      </c>
    </row>
    <row r="198" spans="1:12" hidden="1" outlineLevel="1">
      <c r="A198" s="1" t="s">
        <v>889</v>
      </c>
      <c r="C198" s="1">
        <f>(C196-Projections!C9)+(C197-Projections!C14)</f>
        <v>0</v>
      </c>
      <c r="D198" s="1">
        <f>(D196-Projections!D9)+(D197-Projections!D14)</f>
        <v>0</v>
      </c>
      <c r="E198" s="1">
        <f>(E196-Projections!E9)+(E197-Projections!E14)</f>
        <v>0</v>
      </c>
      <c r="F198" s="1">
        <f>(F196-Projections!F9)+(F197-Projections!F14)</f>
        <v>0</v>
      </c>
      <c r="G198" s="1">
        <f>(G196-Projections!G9)+(G197-Projections!G14)</f>
        <v>0</v>
      </c>
      <c r="H198" s="1">
        <f>(H196-Projections!H9)+(H197-Projections!H14)</f>
        <v>0</v>
      </c>
      <c r="I198" s="1">
        <f>(I196-Projections!I9)+(I197-Projections!I14)</f>
        <v>0</v>
      </c>
      <c r="J198" s="1">
        <f>(J196-Projections!J9)+(J197-Projections!J14)</f>
        <v>0</v>
      </c>
      <c r="K198" s="1">
        <f>(K196-Projections!K9)+(K197-Projections!K14)</f>
        <v>0</v>
      </c>
      <c r="L198" s="1">
        <f>(L196-Projections!L9)+(L197-Projections!L14)</f>
        <v>0</v>
      </c>
    </row>
    <row r="199" spans="1:12" hidden="1" outlineLevel="1">
      <c r="A199" s="1" t="s">
        <v>890</v>
      </c>
      <c r="C199" s="1">
        <f>C198*(1+Assumptions!C32)</f>
        <v>0</v>
      </c>
      <c r="D199" s="1">
        <f>D198*(1+Assumptions!D32)</f>
        <v>0</v>
      </c>
      <c r="E199" s="1">
        <f>E198*(1+Assumptions!E32)</f>
        <v>0</v>
      </c>
      <c r="F199" s="1">
        <f>F198*(1+Assumptions!F32)</f>
        <v>0</v>
      </c>
      <c r="G199" s="1">
        <f>G198*(1+Assumptions!G32)</f>
        <v>0</v>
      </c>
      <c r="H199" s="1">
        <f>H198*(1+Assumptions!H32)</f>
        <v>0</v>
      </c>
      <c r="I199" s="1">
        <f>I198*(1+Assumptions!I32)</f>
        <v>0</v>
      </c>
      <c r="J199" s="1">
        <f>J198*(1+Assumptions!J32)</f>
        <v>0</v>
      </c>
      <c r="K199" s="1">
        <f>K198*(1+Assumptions!K32)</f>
        <v>0</v>
      </c>
      <c r="L199" s="1">
        <f>L198*(1+Assumptions!L32)</f>
        <v>0</v>
      </c>
    </row>
    <row r="200" spans="1:12" hidden="1" outlineLevel="1">
      <c r="A200" s="1" t="s">
        <v>891</v>
      </c>
      <c r="C200" s="1">
        <f>(C196-Projections!C9)*Assumptions!C36+(C197-Projections!C14)*Assumptions!C37+C199*(Assumptions!C39+Assumptions!C40)+Projections!C17*$C$195</f>
        <v>-314.08160000000032</v>
      </c>
      <c r="D200" s="1">
        <f>(D196-Projections!D9)*Assumptions!D36+(D197-Projections!D14)*Assumptions!D37+D199*(Assumptions!D39+Assumptions!D40)+Projections!D17*$C$195</f>
        <v>-336.06731200000041</v>
      </c>
      <c r="E200" s="1">
        <f>(E196-Projections!E9)*Assumptions!E36+(E197-Projections!E14)*Assumptions!E37+E199*(Assumptions!E39+Assumptions!E40)+Projections!E17*$C$195</f>
        <v>-356.23135072000042</v>
      </c>
      <c r="F200" s="1">
        <f>(F196-Projections!F9)*Assumptions!F36+(F197-Projections!F14)*Assumptions!F37+F199*(Assumptions!F39+Assumptions!F40)+Projections!F17*$C$195</f>
        <v>-374.04291825600046</v>
      </c>
      <c r="G200" s="1">
        <f>(G196-Projections!G9)*Assumptions!G36+(G197-Projections!G14)*Assumptions!G37+G199*(Assumptions!G39+Assumptions!G40)+Projections!G17*$C$195</f>
        <v>-389.00463498624049</v>
      </c>
      <c r="H200" s="1">
        <f>(H196-Projections!H9)*Assumptions!H36+(H197-Projections!H14)*Assumptions!H37+H199*(Assumptions!H39+Assumptions!H40)+Projections!H17*$C$195</f>
        <v>-403.78681111571763</v>
      </c>
      <c r="I200" s="1">
        <f>(I196-Projections!I9)*Assumptions!I36+(I197-Projections!I14)*Assumptions!I37+I199*(Assumptions!I39+Assumptions!I40)+Projections!I17*$C$195</f>
        <v>-418.32313631588346</v>
      </c>
      <c r="J200" s="1">
        <f>(J196-Projections!J9)*Assumptions!J36+(J197-Projections!J14)*Assumptions!J37+J199*(Assumptions!J39+Assumptions!J40)+Projections!J17*$C$195</f>
        <v>-432.5461229506235</v>
      </c>
      <c r="K200" s="1">
        <f>(K196-Projections!K9)*Assumptions!K36+(K197-Projections!K14)*Assumptions!K37+K199*(Assumptions!K39+Assumptions!K40)+Projections!K17*$C$195</f>
        <v>-446.38759888504342</v>
      </c>
      <c r="L200" s="1">
        <f>(L196-Projections!L9)*Assumptions!L36+(L197-Projections!L14)*Assumptions!L37+L199*(Assumptions!L39+Assumptions!L40)+Projections!L17*$C$195</f>
        <v>-459.77922685159479</v>
      </c>
    </row>
    <row r="201" spans="1:12" hidden="1" outlineLevel="1">
      <c r="A201" s="1" t="s">
        <v>892</v>
      </c>
      <c r="C201" s="1">
        <f>C199*(1-Assumptions!C44-Assumptions!C45+Assumptions!C46)-C200</f>
        <v>314.08160000000032</v>
      </c>
      <c r="D201" s="1">
        <f>D199*(1-Assumptions!D44-Assumptions!D45+Assumptions!D46)-D200</f>
        <v>336.06731200000041</v>
      </c>
      <c r="E201" s="1">
        <f>E199*(1-Assumptions!E44-Assumptions!E45+Assumptions!E46)-E200</f>
        <v>356.23135072000042</v>
      </c>
      <c r="F201" s="1">
        <f>F199*(1-Assumptions!F44-Assumptions!F45+Assumptions!F46)-F200</f>
        <v>374.04291825600046</v>
      </c>
      <c r="G201" s="1">
        <f>G199*(1-Assumptions!G44-Assumptions!G45+Assumptions!G46)-G200</f>
        <v>389.00463498624049</v>
      </c>
      <c r="H201" s="1">
        <f>H199*(1-Assumptions!H44-Assumptions!H45+Assumptions!H46)-H200</f>
        <v>403.78681111571763</v>
      </c>
      <c r="I201" s="1">
        <f>I199*(1-Assumptions!I44-Assumptions!I45+Assumptions!I46)-I200</f>
        <v>418.32313631588346</v>
      </c>
      <c r="J201" s="1">
        <f>J199*(1-Assumptions!J44-Assumptions!J45+Assumptions!J46)-J200</f>
        <v>432.5461229506235</v>
      </c>
      <c r="K201" s="1">
        <f>K199*(1-Assumptions!K44-Assumptions!K45+Assumptions!K46)-K200</f>
        <v>446.38759888504342</v>
      </c>
      <c r="L201" s="1">
        <f>L199*(1-Assumptions!L44-Assumptions!L45+Assumptions!L46)-L200</f>
        <v>459.77922685159479</v>
      </c>
    </row>
    <row r="202" spans="1:12" hidden="1" outlineLevel="1">
      <c r="A202" s="1" t="s">
        <v>893</v>
      </c>
      <c r="C202" s="1">
        <f>C199*(Assumptions!C57/Assumptions!$C$9+Assumptions!C58+Assumptions!C62+Assumptions!C64+Assumptions!C65+Assumptions!C67-Assumptions!C63-Assumptions!C61-Assumptions!C66-Assumptions!C68)+C201*(Assumptions!C59-Assumptions!C60)/Assumptions!$C$9</f>
        <v>-11.522278785495233</v>
      </c>
      <c r="D202" s="1">
        <f>D199*(Assumptions!D57/Assumptions!$C$9+Assumptions!D58+Assumptions!D62+Assumptions!D64+Assumptions!D65+Assumptions!D67-Assumptions!D63-Assumptions!D61-Assumptions!D66-Assumptions!D68)+D201*(Assumptions!D59-Assumptions!D60)/Assumptions!$C$9</f>
        <v>-12.328838300479905</v>
      </c>
      <c r="E202" s="1">
        <f>E199*(Assumptions!E57/Assumptions!$C$9+Assumptions!E58+Assumptions!E62+Assumptions!E64+Assumptions!E65+Assumptions!E67-Assumptions!E63-Assumptions!E61-Assumptions!E66-Assumptions!E68)+E201*(Assumptions!E59-Assumptions!E60)/Assumptions!$C$9</f>
        <v>-13.068568598508698</v>
      </c>
      <c r="F202" s="1">
        <f>F199*(Assumptions!F57/Assumptions!$C$9+Assumptions!F58+Assumptions!F62+Assumptions!F64+Assumptions!F65+Assumptions!F67-Assumptions!F63-Assumptions!F61-Assumptions!F66-Assumptions!F68)+F201*(Assumptions!F59-Assumptions!F60)/Assumptions!$C$9</f>
        <v>-13.721997028434133</v>
      </c>
      <c r="G202" s="1">
        <f>G199*(Assumptions!G57/Assumptions!$C$9+Assumptions!G58+Assumptions!G62+Assumptions!G64+Assumptions!G65+Assumptions!G67-Assumptions!G63-Assumptions!G61-Assumptions!G66-Assumptions!G68)+G201*(Assumptions!G59-Assumptions!G60)/Assumptions!$C$9</f>
        <v>-14.270876909571498</v>
      </c>
      <c r="H202" s="1">
        <f>H199*(Assumptions!H57/Assumptions!$C$9+Assumptions!H58+Assumptions!H62+Assumptions!H64+Assumptions!H65+Assumptions!H67-Assumptions!H63-Assumptions!H61-Assumptions!H66-Assumptions!H68)+H201*(Assumptions!H59-Assumptions!H60)/Assumptions!$C$9</f>
        <v>-14.813170232135215</v>
      </c>
      <c r="I202" s="1">
        <f>I199*(Assumptions!I57/Assumptions!$C$9+Assumptions!I58+Assumptions!I62+Assumptions!I64+Assumptions!I65+Assumptions!I67-Assumptions!I63-Assumptions!I61-Assumptions!I66-Assumptions!I68)+I201*(Assumptions!I59-Assumptions!I60)/Assumptions!$C$9</f>
        <v>-15.346444360492082</v>
      </c>
      <c r="J202" s="1">
        <f>J199*(Assumptions!J57/Assumptions!$C$9+Assumptions!J58+Assumptions!J62+Assumptions!J64+Assumptions!J65+Assumptions!J67-Assumptions!J63-Assumptions!J61-Assumptions!J66-Assumptions!J68)+J201*(Assumptions!J59-Assumptions!J60)/Assumptions!$C$9</f>
        <v>-15.868223468748814</v>
      </c>
      <c r="K202" s="1">
        <f>K199*(Assumptions!K57/Assumptions!$C$9+Assumptions!K58+Assumptions!K62+Assumptions!K64+Assumptions!K65+Assumptions!K67-Assumptions!K63-Assumptions!K61-Assumptions!K66-Assumptions!K68)+K201*(Assumptions!K59-Assumptions!K60)/Assumptions!$C$9</f>
        <v>-16.376006619748775</v>
      </c>
      <c r="L202" s="1">
        <f>L199*(Assumptions!L57/Assumptions!$C$9+Assumptions!L58+Assumptions!L62+Assumptions!L64+Assumptions!L65+Assumptions!L67-Assumptions!L63-Assumptions!L61-Assumptions!L66-Assumptions!L68)+L201*(Assumptions!L59-Assumptions!L60)/Assumptions!$C$9</f>
        <v>-16.867286818341242</v>
      </c>
    </row>
    <row r="203" spans="1:12" hidden="1" outlineLevel="1">
      <c r="A203" s="1" t="s">
        <v>894</v>
      </c>
      <c r="C203" s="1">
        <f>C202</f>
        <v>-11.522278785495233</v>
      </c>
      <c r="D203" s="1">
        <f>D202-C202</f>
        <v>-0.80655951498467182</v>
      </c>
      <c r="E203" s="1">
        <f>E202-D202</f>
        <v>-0.73973029802879253</v>
      </c>
      <c r="F203" s="1">
        <f>F202-E202</f>
        <v>-0.65342842992543559</v>
      </c>
      <c r="G203" s="1">
        <f>G202-F202</f>
        <v>-0.54887988113736519</v>
      </c>
      <c r="H203" s="1">
        <f>H202-G202</f>
        <v>-0.54229332256371698</v>
      </c>
      <c r="I203" s="1">
        <f>I202-H202</f>
        <v>-0.53327412835686694</v>
      </c>
      <c r="J203" s="1">
        <f>J202-I202</f>
        <v>-0.52177910825673202</v>
      </c>
      <c r="K203" s="1">
        <f>K202-J202</f>
        <v>-0.50778315099996085</v>
      </c>
      <c r="L203" s="1">
        <f>L202-K202</f>
        <v>-0.49128019859246663</v>
      </c>
    </row>
    <row r="204" spans="1:12" hidden="1" outlineLevel="1">
      <c r="A204" s="1" t="s">
        <v>895</v>
      </c>
      <c r="C204" s="1">
        <f>C200*(1-Assumptions!C49)</f>
        <v>-260.93384355950047</v>
      </c>
      <c r="D204" s="1">
        <f>D200*(1-Assumptions!D49)</f>
        <v>-272.01119989759815</v>
      </c>
      <c r="E204" s="1">
        <f>E200*(1-Assumptions!E49)</f>
        <v>-288.331871891454</v>
      </c>
      <c r="F204" s="1">
        <f>F200*(1-Assumptions!F49)</f>
        <v>-302.74846548602676</v>
      </c>
      <c r="G204" s="1">
        <f>G200*(1-Assumptions!G49)</f>
        <v>-314.8584041054678</v>
      </c>
      <c r="H204" s="1">
        <f>H200*(1-Assumptions!H49)</f>
        <v>-326.8230234614756</v>
      </c>
      <c r="I204" s="1">
        <f>I200*(1-Assumptions!I49)</f>
        <v>-338.5886523060887</v>
      </c>
      <c r="J204" s="1">
        <f>J200*(1-Assumptions!J49)</f>
        <v>-350.10066648449572</v>
      </c>
      <c r="K204" s="1">
        <f>K200*(1-Assumptions!K49)</f>
        <v>-361.30388781199957</v>
      </c>
      <c r="L204" s="1">
        <f>L200*(1-Assumptions!L49)</f>
        <v>-372.14300444635961</v>
      </c>
    </row>
    <row r="205" spans="1:12" hidden="1" outlineLevel="1">
      <c r="A205" s="1" t="s">
        <v>896</v>
      </c>
      <c r="C205" s="1">
        <f>C199*Assumptions!C53</f>
        <v>0</v>
      </c>
      <c r="D205" s="1">
        <f>D199*Assumptions!D53</f>
        <v>0</v>
      </c>
      <c r="E205" s="1">
        <f>E199*Assumptions!E53</f>
        <v>0</v>
      </c>
      <c r="F205" s="1">
        <f>F199*Assumptions!F53</f>
        <v>0</v>
      </c>
      <c r="G205" s="1">
        <f>G199*Assumptions!G53</f>
        <v>0</v>
      </c>
      <c r="H205" s="1">
        <f>H199*Assumptions!H53</f>
        <v>0</v>
      </c>
      <c r="I205" s="1">
        <f>I199*Assumptions!I53</f>
        <v>0</v>
      </c>
      <c r="J205" s="1">
        <f>J199*Assumptions!J53</f>
        <v>0</v>
      </c>
      <c r="K205" s="1">
        <f>K199*Assumptions!K53</f>
        <v>0</v>
      </c>
      <c r="L205" s="1">
        <f>L199*Assumptions!L53</f>
        <v>0</v>
      </c>
    </row>
    <row r="206" spans="1:12" hidden="1" outlineLevel="1">
      <c r="A206" s="1" t="s">
        <v>897</v>
      </c>
      <c r="C206" s="1">
        <f>C199*Assumptions!C55</f>
        <v>0</v>
      </c>
      <c r="D206" s="1">
        <f>D199*Assumptions!D55</f>
        <v>0</v>
      </c>
      <c r="E206" s="1">
        <f>E199*Assumptions!E55</f>
        <v>0</v>
      </c>
      <c r="F206" s="1">
        <f>F199*Assumptions!F55</f>
        <v>0</v>
      </c>
      <c r="G206" s="1">
        <f>G199*Assumptions!G55</f>
        <v>0</v>
      </c>
      <c r="H206" s="1">
        <f>H199*Assumptions!H55</f>
        <v>0</v>
      </c>
      <c r="I206" s="1">
        <f>I199*Assumptions!I55</f>
        <v>0</v>
      </c>
      <c r="J206" s="1">
        <f>J199*Assumptions!J55</f>
        <v>0</v>
      </c>
      <c r="K206" s="1">
        <f>K199*Assumptions!K55</f>
        <v>0</v>
      </c>
      <c r="L206" s="1">
        <f>L199*Assumptions!L55</f>
        <v>0</v>
      </c>
    </row>
    <row r="207" spans="1:12" hidden="1" outlineLevel="1">
      <c r="A207" s="1" t="s">
        <v>898</v>
      </c>
      <c r="C207" s="1">
        <f>Assumptions!C54</f>
        <v>2.9000000000000001E-2</v>
      </c>
      <c r="D207" s="1">
        <f>Assumptions!D54</f>
        <v>0.03</v>
      </c>
      <c r="E207" s="1">
        <f>Assumptions!E54</f>
        <v>0.03</v>
      </c>
      <c r="F207" s="1">
        <f>Assumptions!F54</f>
        <v>2.9000000000000001E-2</v>
      </c>
      <c r="G207" s="1">
        <f>Assumptions!G54</f>
        <v>2.8000000000000001E-2</v>
      </c>
      <c r="H207" s="1">
        <f>Assumptions!$G$54+($L207-Assumptions!$G$54)*H$33</f>
        <v>3.0200600202457333E-2</v>
      </c>
      <c r="I207" s="1">
        <f>Assumptions!$G$54+($L207-Assumptions!$G$54)*I$33</f>
        <v>3.2401200404914662E-2</v>
      </c>
      <c r="J207" s="1">
        <f>Assumptions!$G$54+($L207-Assumptions!$G$54)*J$33</f>
        <v>3.4601800607371995E-2</v>
      </c>
      <c r="K207" s="1">
        <f>Assumptions!$G$54+($L207-Assumptions!$G$54)*K$33</f>
        <v>3.6802400809829328E-2</v>
      </c>
      <c r="L207" s="1">
        <f>((DCF!$L$9+L204)*DCF!$C$22/DCF!$C$24+DCF!$L$10+L205-(DCF!$L$12+L203)-(-Projections!$L$122+L206))/(Projections!$L$20+L199)</f>
        <v>3.900300101228666E-2</v>
      </c>
    </row>
    <row r="208" spans="1:12" hidden="1" outlineLevel="1">
      <c r="A208" s="1" t="s">
        <v>899</v>
      </c>
      <c r="C208" s="1">
        <f>DCF!C13+C204+C205-((Projections!C20+C199)*C207+Projections!C121)-C206-C203</f>
        <v>9171.6614955307832</v>
      </c>
      <c r="D208" s="1">
        <f>DCF!D13+D204+D205-((Projections!D20+D199)*D207+Projections!D121)-D206-D203</f>
        <v>11107.798029177811</v>
      </c>
      <c r="E208" s="1">
        <f>DCF!E13+E204+E205-((Projections!E20+E199)*E207+Projections!E121)-E206-E203</f>
        <v>12043.13324634168</v>
      </c>
      <c r="F208" s="1">
        <f>DCF!F13+F204+F205-((Projections!F20+F199)*F207+Projections!F121)-F206-F203</f>
        <v>13030.953132565586</v>
      </c>
      <c r="G208" s="1">
        <f>DCF!G13+G204+G205-((Projections!G20+G199)*G207+Projections!G121)-G206-G203</f>
        <v>13902.384719443669</v>
      </c>
      <c r="H208" s="1">
        <f>DCF!H13+H204+H205-((Projections!H20+H199)*H207+Projections!H121)-H206-H203</f>
        <v>14138.933134792802</v>
      </c>
      <c r="I208" s="1">
        <f>DCF!I13+I204+I205-((Projections!I20+I199)*I207+Projections!I121)-I206-I203</f>
        <v>14335.525844497344</v>
      </c>
      <c r="J208" s="1">
        <f>DCF!J13+J204+J205-((Projections!J20+J199)*J207+Projections!J121)-J206-J203</f>
        <v>14484.975446677136</v>
      </c>
      <c r="K208" s="1">
        <f>DCF!K13+K204+K205-((Projections!K20+K199)*K207+Projections!K121)-K206-K203</f>
        <v>14584.522487231136</v>
      </c>
      <c r="L208" s="1">
        <f>(DCF!$L$9+L204)*(1-DCF!$C$22/DCF!$C$24)</f>
        <v>14631.972030366087</v>
      </c>
    </row>
    <row r="209" spans="1:12" hidden="1" outlineLevel="1">
      <c r="A209" s="1" t="s">
        <v>30</v>
      </c>
      <c r="B209" s="1">
        <f>(SUMPRODUCT(C208:K208,DCF!$C$14:$K$14,DCF!$C$17:$K$17)+L208*DCF!$L$17*(1+(1+DCF!$C$22)/(DCF!$C$21-DCF!$C$22))+DCF!$C$44)/DCF!$C$46</f>
        <v>147.29232322453848</v>
      </c>
    </row>
    <row r="210" spans="1:12" hidden="1" outlineLevel="1"/>
    <row r="211" spans="1:12" hidden="1" outlineLevel="1">
      <c r="A211" s="1" t="s">
        <v>910</v>
      </c>
      <c r="B211" s="35">
        <f>$B$19-Assumptions!$C$28</f>
        <v>0</v>
      </c>
      <c r="C211" s="35">
        <f>$D$16-Assumptions!$C$38</f>
        <v>-5.0000000000000044E-3</v>
      </c>
    </row>
    <row r="212" spans="1:12" hidden="1" outlineLevel="1">
      <c r="A212" s="1" t="s">
        <v>887</v>
      </c>
      <c r="C212" s="1">
        <f>Projections!B9*(1+Assumptions!C21+$B$211*C$32)</f>
        <v>14576.817142857148</v>
      </c>
      <c r="D212" s="1">
        <f>C212*(1+Assumptions!D21+$B$211*D$32)</f>
        <v>15742.96251428572</v>
      </c>
      <c r="E212" s="1">
        <f>D212*(1+Assumptions!E21+$B$211*E$32)</f>
        <v>16844.969890285724</v>
      </c>
      <c r="F212" s="1">
        <f>E212*(1+Assumptions!F21+$B$211*F$32)</f>
        <v>17855.668083702869</v>
      </c>
      <c r="G212" s="1">
        <f>F212*(1+Assumptions!G21+$B$211*G$32)</f>
        <v>18748.451487888015</v>
      </c>
      <c r="H212" s="1">
        <f>G212*(1+Assumptions!H21+$B$211*H$32)</f>
        <v>19610.880256330864</v>
      </c>
      <c r="I212" s="1">
        <f>H212*(1+Assumptions!I21+$B$211*I$32)</f>
        <v>20434.53722709676</v>
      </c>
      <c r="J212" s="1">
        <f>I212*(1+Assumptions!J21+$B$211*J$32)</f>
        <v>21211.049641726437</v>
      </c>
      <c r="K212" s="1">
        <f>J212*(1+Assumptions!K21+$B$211*K$32)</f>
        <v>21932.225329545137</v>
      </c>
      <c r="L212" s="1">
        <f>K212*(1+Assumptions!L21+$B$211*L$32)</f>
        <v>22590.192089431494</v>
      </c>
    </row>
    <row r="213" spans="1:12" hidden="1" outlineLevel="1">
      <c r="A213" s="1" t="s">
        <v>888</v>
      </c>
      <c r="C213" s="1">
        <f>Projections!B14*(1+Assumptions!C28+$B$211*C$32)</f>
        <v>19600.581538461542</v>
      </c>
      <c r="D213" s="1">
        <f>C213*(1+Assumptions!D28+$B$211*D$32)</f>
        <v>21952.651323076927</v>
      </c>
      <c r="E213" s="1">
        <f>D213*(1+Assumptions!E28+$B$211*E$32)</f>
        <v>23928.389942153852</v>
      </c>
      <c r="F213" s="1">
        <f>E213*(1+Assumptions!F28+$B$211*F$32)</f>
        <v>25603.377238104622</v>
      </c>
      <c r="G213" s="1">
        <f>F213*(1+Assumptions!G28+$B$211*G$32)</f>
        <v>27139.579872390899</v>
      </c>
      <c r="H213" s="1">
        <f>G213*(1+Assumptions!H28+$B$211*H$32)</f>
        <v>28605.11718550001</v>
      </c>
      <c r="I213" s="1">
        <f>H213*(1+Assumptions!I28+$B$211*I$32)</f>
        <v>29978.162810404014</v>
      </c>
      <c r="J213" s="1">
        <f>I213*(1+Assumptions!J28+$B$211*J$32)</f>
        <v>31237.245648440985</v>
      </c>
      <c r="K213" s="1">
        <f>J213*(1+Assumptions!K28+$B$211*K$32)</f>
        <v>32361.78649178486</v>
      </c>
      <c r="L213" s="1">
        <f>K213*(1+Assumptions!L28+$B$211*L$32)</f>
        <v>33332.640086538406</v>
      </c>
    </row>
    <row r="214" spans="1:12" hidden="1" outlineLevel="1">
      <c r="A214" s="1" t="s">
        <v>889</v>
      </c>
      <c r="C214" s="1">
        <f>(C212-Projections!C9)+(C213-Projections!C14)</f>
        <v>0</v>
      </c>
      <c r="D214" s="1">
        <f>(D212-Projections!D9)+(D213-Projections!D14)</f>
        <v>0</v>
      </c>
      <c r="E214" s="1">
        <f>(E212-Projections!E9)+(E213-Projections!E14)</f>
        <v>0</v>
      </c>
      <c r="F214" s="1">
        <f>(F212-Projections!F9)+(F213-Projections!F14)</f>
        <v>0</v>
      </c>
      <c r="G214" s="1">
        <f>(G212-Projections!G9)+(G213-Projections!G14)</f>
        <v>0</v>
      </c>
      <c r="H214" s="1">
        <f>(H212-Projections!H9)+(H213-Projections!H14)</f>
        <v>0</v>
      </c>
      <c r="I214" s="1">
        <f>(I212-Projections!I9)+(I213-Projections!I14)</f>
        <v>0</v>
      </c>
      <c r="J214" s="1">
        <f>(J212-Projections!J9)+(J213-Projections!J14)</f>
        <v>0</v>
      </c>
      <c r="K214" s="1">
        <f>(K212-Projections!K9)+(K213-Projections!K14)</f>
        <v>0</v>
      </c>
      <c r="L214" s="1">
        <f>(L212-Projections!L9)+(L213-Projections!L14)</f>
        <v>0</v>
      </c>
    </row>
    <row r="215" spans="1:12" hidden="1" outlineLevel="1">
      <c r="A215" s="1" t="s">
        <v>890</v>
      </c>
      <c r="C215" s="1">
        <f>C214*(1+Assumptions!C32)</f>
        <v>0</v>
      </c>
      <c r="D215" s="1">
        <f>D214*(1+Assumptions!D32)</f>
        <v>0</v>
      </c>
      <c r="E215" s="1">
        <f>E214*(1+Assumptions!E32)</f>
        <v>0</v>
      </c>
      <c r="F215" s="1">
        <f>F214*(1+Assumptions!F32)</f>
        <v>0</v>
      </c>
      <c r="G215" s="1">
        <f>G214*(1+Assumptions!G32)</f>
        <v>0</v>
      </c>
      <c r="H215" s="1">
        <f>H214*(1+Assumptions!H32)</f>
        <v>0</v>
      </c>
      <c r="I215" s="1">
        <f>I214*(1+Assumptions!I32)</f>
        <v>0</v>
      </c>
      <c r="J215" s="1">
        <f>J214*(1+Assumptions!J32)</f>
        <v>0</v>
      </c>
      <c r="K215" s="1">
        <f>K214*(1+Assumptions!K32)</f>
        <v>0</v>
      </c>
      <c r="L215" s="1">
        <f>L214*(1+Assumptions!L32)</f>
        <v>0</v>
      </c>
    </row>
    <row r="216" spans="1:12" hidden="1" outlineLevel="1">
      <c r="A216" s="1" t="s">
        <v>891</v>
      </c>
      <c r="C216" s="1">
        <f>(C212-Projections!C9)*Assumptions!C36+(C213-Projections!C14)*Assumptions!C37+C215*(Assumptions!C39+Assumptions!C40)+Projections!C17*$C$211</f>
        <v>-157.04080000000016</v>
      </c>
      <c r="D216" s="1">
        <f>(D212-Projections!D9)*Assumptions!D36+(D213-Projections!D14)*Assumptions!D37+D215*(Assumptions!D39+Assumptions!D40)+Projections!D17*$C$211</f>
        <v>-168.03365600000021</v>
      </c>
      <c r="E216" s="1">
        <f>(E212-Projections!E9)*Assumptions!E36+(E213-Projections!E14)*Assumptions!E37+E215*(Assumptions!E39+Assumptions!E40)+Projections!E17*$C$211</f>
        <v>-178.11567536000021</v>
      </c>
      <c r="F216" s="1">
        <f>(F212-Projections!F9)*Assumptions!F36+(F213-Projections!F14)*Assumptions!F37+F215*(Assumptions!F39+Assumptions!F40)+Projections!F17*$C$211</f>
        <v>-187.02145912800023</v>
      </c>
      <c r="G216" s="1">
        <f>(G212-Projections!G9)*Assumptions!G36+(G213-Projections!G14)*Assumptions!G37+G215*(Assumptions!G39+Assumptions!G40)+Projections!G17*$C$211</f>
        <v>-194.50231749312024</v>
      </c>
      <c r="H216" s="1">
        <f>(H212-Projections!H9)*Assumptions!H36+(H213-Projections!H14)*Assumptions!H37+H215*(Assumptions!H39+Assumptions!H40)+Projections!H17*$C$211</f>
        <v>-201.89340555785881</v>
      </c>
      <c r="I216" s="1">
        <f>(I212-Projections!I9)*Assumptions!I36+(I213-Projections!I14)*Assumptions!I37+I215*(Assumptions!I39+Assumptions!I40)+Projections!I17*$C$211</f>
        <v>-209.16156815794173</v>
      </c>
      <c r="J216" s="1">
        <f>(J212-Projections!J9)*Assumptions!J36+(J213-Projections!J14)*Assumptions!J37+J215*(Assumptions!J39+Assumptions!J40)+Projections!J17*$C$211</f>
        <v>-216.27306147531175</v>
      </c>
      <c r="K216" s="1">
        <f>(K212-Projections!K9)*Assumptions!K36+(K213-Projections!K14)*Assumptions!K37+K215*(Assumptions!K39+Assumptions!K40)+Projections!K17*$C$211</f>
        <v>-223.19379944252171</v>
      </c>
      <c r="L216" s="1">
        <f>(L212-Projections!L9)*Assumptions!L36+(L213-Projections!L14)*Assumptions!L37+L215*(Assumptions!L39+Assumptions!L40)+Projections!L17*$C$211</f>
        <v>-229.88961342579739</v>
      </c>
    </row>
    <row r="217" spans="1:12" hidden="1" outlineLevel="1">
      <c r="A217" s="1" t="s">
        <v>892</v>
      </c>
      <c r="C217" s="1">
        <f>C215*(1-Assumptions!C44-Assumptions!C45+Assumptions!C46)-C216</f>
        <v>157.04080000000016</v>
      </c>
      <c r="D217" s="1">
        <f>D215*(1-Assumptions!D44-Assumptions!D45+Assumptions!D46)-D216</f>
        <v>168.03365600000021</v>
      </c>
      <c r="E217" s="1">
        <f>E215*(1-Assumptions!E44-Assumptions!E45+Assumptions!E46)-E216</f>
        <v>178.11567536000021</v>
      </c>
      <c r="F217" s="1">
        <f>F215*(1-Assumptions!F44-Assumptions!F45+Assumptions!F46)-F216</f>
        <v>187.02145912800023</v>
      </c>
      <c r="G217" s="1">
        <f>G215*(1-Assumptions!G44-Assumptions!G45+Assumptions!G46)-G216</f>
        <v>194.50231749312024</v>
      </c>
      <c r="H217" s="1">
        <f>H215*(1-Assumptions!H44-Assumptions!H45+Assumptions!H46)-H216</f>
        <v>201.89340555785881</v>
      </c>
      <c r="I217" s="1">
        <f>I215*(1-Assumptions!I44-Assumptions!I45+Assumptions!I46)-I216</f>
        <v>209.16156815794173</v>
      </c>
      <c r="J217" s="1">
        <f>J215*(1-Assumptions!J44-Assumptions!J45+Assumptions!J46)-J216</f>
        <v>216.27306147531175</v>
      </c>
      <c r="K217" s="1">
        <f>K215*(1-Assumptions!K44-Assumptions!K45+Assumptions!K46)-K216</f>
        <v>223.19379944252171</v>
      </c>
      <c r="L217" s="1">
        <f>L215*(1-Assumptions!L44-Assumptions!L45+Assumptions!L46)-L216</f>
        <v>229.88961342579739</v>
      </c>
    </row>
    <row r="218" spans="1:12" hidden="1" outlineLevel="1">
      <c r="A218" s="1" t="s">
        <v>893</v>
      </c>
      <c r="C218" s="1">
        <f>C215*(Assumptions!C57/Assumptions!$C$9+Assumptions!C58+Assumptions!C62+Assumptions!C64+Assumptions!C65+Assumptions!C67-Assumptions!C63-Assumptions!C61-Assumptions!C66-Assumptions!C68)+C217*(Assumptions!C59-Assumptions!C60)/Assumptions!$C$9</f>
        <v>-5.7611393927476167</v>
      </c>
      <c r="D218" s="1">
        <f>D215*(Assumptions!D57/Assumptions!$C$9+Assumptions!D58+Assumptions!D62+Assumptions!D64+Assumptions!D65+Assumptions!D67-Assumptions!D63-Assumptions!D61-Assumptions!D66-Assumptions!D68)+D217*(Assumptions!D59-Assumptions!D60)/Assumptions!$C$9</f>
        <v>-6.1644191502399526</v>
      </c>
      <c r="E218" s="1">
        <f>E215*(Assumptions!E57/Assumptions!$C$9+Assumptions!E58+Assumptions!E62+Assumptions!E64+Assumptions!E65+Assumptions!E67-Assumptions!E63-Assumptions!E61-Assumptions!E66-Assumptions!E68)+E217*(Assumptions!E59-Assumptions!E60)/Assumptions!$C$9</f>
        <v>-6.5342842992543488</v>
      </c>
      <c r="F218" s="1">
        <f>F215*(Assumptions!F57/Assumptions!$C$9+Assumptions!F58+Assumptions!F62+Assumptions!F64+Assumptions!F65+Assumptions!F67-Assumptions!F63-Assumptions!F61-Assumptions!F66-Assumptions!F68)+F217*(Assumptions!F59-Assumptions!F60)/Assumptions!$C$9</f>
        <v>-6.8609985142170666</v>
      </c>
      <c r="G218" s="1">
        <f>G215*(Assumptions!G57/Assumptions!$C$9+Assumptions!G58+Assumptions!G62+Assumptions!G64+Assumptions!G65+Assumptions!G67-Assumptions!G63-Assumptions!G61-Assumptions!G66-Assumptions!G68)+G217*(Assumptions!G59-Assumptions!G60)/Assumptions!$C$9</f>
        <v>-7.1354384547857492</v>
      </c>
      <c r="H218" s="1">
        <f>H215*(Assumptions!H57/Assumptions!$C$9+Assumptions!H58+Assumptions!H62+Assumptions!H64+Assumptions!H65+Assumptions!H67-Assumptions!H63-Assumptions!H61-Assumptions!H66-Assumptions!H68)+H217*(Assumptions!H59-Assumptions!H60)/Assumptions!$C$9</f>
        <v>-7.4065851160676077</v>
      </c>
      <c r="I218" s="1">
        <f>I215*(Assumptions!I57/Assumptions!$C$9+Assumptions!I58+Assumptions!I62+Assumptions!I64+Assumptions!I65+Assumptions!I67-Assumptions!I63-Assumptions!I61-Assumptions!I66-Assumptions!I68)+I217*(Assumptions!I59-Assumptions!I60)/Assumptions!$C$9</f>
        <v>-7.6732221802460412</v>
      </c>
      <c r="J218" s="1">
        <f>J215*(Assumptions!J57/Assumptions!$C$9+Assumptions!J58+Assumptions!J62+Assumptions!J64+Assumptions!J65+Assumptions!J67-Assumptions!J63-Assumptions!J61-Assumptions!J66-Assumptions!J68)+J217*(Assumptions!J59-Assumptions!J60)/Assumptions!$C$9</f>
        <v>-7.9341117343744072</v>
      </c>
      <c r="K218" s="1">
        <f>K215*(Assumptions!K57/Assumptions!$C$9+Assumptions!K58+Assumptions!K62+Assumptions!K64+Assumptions!K65+Assumptions!K67-Assumptions!K63-Assumptions!K61-Assumptions!K66-Assumptions!K68)+K217*(Assumptions!K59-Assumptions!K60)/Assumptions!$C$9</f>
        <v>-8.1880033098743876</v>
      </c>
      <c r="L218" s="1">
        <f>L215*(Assumptions!L57/Assumptions!$C$9+Assumptions!L58+Assumptions!L62+Assumptions!L64+Assumptions!L65+Assumptions!L67-Assumptions!L63-Assumptions!L61-Assumptions!L66-Assumptions!L68)+L217*(Assumptions!L59-Assumptions!L60)/Assumptions!$C$9</f>
        <v>-8.4336434091706209</v>
      </c>
    </row>
    <row r="219" spans="1:12" hidden="1" outlineLevel="1">
      <c r="A219" s="1" t="s">
        <v>894</v>
      </c>
      <c r="C219" s="1">
        <f>C218</f>
        <v>-5.7611393927476167</v>
      </c>
      <c r="D219" s="1">
        <f>D218-C218</f>
        <v>-0.40327975749233591</v>
      </c>
      <c r="E219" s="1">
        <f>E218-D218</f>
        <v>-0.36986514901439627</v>
      </c>
      <c r="F219" s="1">
        <f>F218-E218</f>
        <v>-0.3267142149627178</v>
      </c>
      <c r="G219" s="1">
        <f>G218-F218</f>
        <v>-0.27443994056868259</v>
      </c>
      <c r="H219" s="1">
        <f>H218-G218</f>
        <v>-0.27114666128185849</v>
      </c>
      <c r="I219" s="1">
        <f>I218-H218</f>
        <v>-0.26663706417843347</v>
      </c>
      <c r="J219" s="1">
        <f>J218-I218</f>
        <v>-0.26088955412836601</v>
      </c>
      <c r="K219" s="1">
        <f>K218-J218</f>
        <v>-0.25389157549998043</v>
      </c>
      <c r="L219" s="1">
        <f>L218-K218</f>
        <v>-0.24564009929623332</v>
      </c>
    </row>
    <row r="220" spans="1:12" hidden="1" outlineLevel="1">
      <c r="A220" s="1" t="s">
        <v>895</v>
      </c>
      <c r="C220" s="1">
        <f>C216*(1-Assumptions!C49)</f>
        <v>-130.46692177975024</v>
      </c>
      <c r="D220" s="1">
        <f>D216*(1-Assumptions!D49)</f>
        <v>-136.00559994879907</v>
      </c>
      <c r="E220" s="1">
        <f>E216*(1-Assumptions!E49)</f>
        <v>-144.165935945727</v>
      </c>
      <c r="F220" s="1">
        <f>F216*(1-Assumptions!F49)</f>
        <v>-151.37423274301338</v>
      </c>
      <c r="G220" s="1">
        <f>G216*(1-Assumptions!G49)</f>
        <v>-157.4292020527339</v>
      </c>
      <c r="H220" s="1">
        <f>H216*(1-Assumptions!H49)</f>
        <v>-163.4115117307378</v>
      </c>
      <c r="I220" s="1">
        <f>I216*(1-Assumptions!I49)</f>
        <v>-169.29432615304435</v>
      </c>
      <c r="J220" s="1">
        <f>J216*(1-Assumptions!J49)</f>
        <v>-175.05033324224786</v>
      </c>
      <c r="K220" s="1">
        <f>K216*(1-Assumptions!K49)</f>
        <v>-180.65194390599979</v>
      </c>
      <c r="L220" s="1">
        <f>L216*(1-Assumptions!L49)</f>
        <v>-186.07150222317981</v>
      </c>
    </row>
    <row r="221" spans="1:12" hidden="1" outlineLevel="1">
      <c r="A221" s="1" t="s">
        <v>896</v>
      </c>
      <c r="C221" s="1">
        <f>C215*Assumptions!C53</f>
        <v>0</v>
      </c>
      <c r="D221" s="1">
        <f>D215*Assumptions!D53</f>
        <v>0</v>
      </c>
      <c r="E221" s="1">
        <f>E215*Assumptions!E53</f>
        <v>0</v>
      </c>
      <c r="F221" s="1">
        <f>F215*Assumptions!F53</f>
        <v>0</v>
      </c>
      <c r="G221" s="1">
        <f>G215*Assumptions!G53</f>
        <v>0</v>
      </c>
      <c r="H221" s="1">
        <f>H215*Assumptions!H53</f>
        <v>0</v>
      </c>
      <c r="I221" s="1">
        <f>I215*Assumptions!I53</f>
        <v>0</v>
      </c>
      <c r="J221" s="1">
        <f>J215*Assumptions!J53</f>
        <v>0</v>
      </c>
      <c r="K221" s="1">
        <f>K215*Assumptions!K53</f>
        <v>0</v>
      </c>
      <c r="L221" s="1">
        <f>L215*Assumptions!L53</f>
        <v>0</v>
      </c>
    </row>
    <row r="222" spans="1:12" hidden="1" outlineLevel="1">
      <c r="A222" s="1" t="s">
        <v>897</v>
      </c>
      <c r="C222" s="1">
        <f>C215*Assumptions!C55</f>
        <v>0</v>
      </c>
      <c r="D222" s="1">
        <f>D215*Assumptions!D55</f>
        <v>0</v>
      </c>
      <c r="E222" s="1">
        <f>E215*Assumptions!E55</f>
        <v>0</v>
      </c>
      <c r="F222" s="1">
        <f>F215*Assumptions!F55</f>
        <v>0</v>
      </c>
      <c r="G222" s="1">
        <f>G215*Assumptions!G55</f>
        <v>0</v>
      </c>
      <c r="H222" s="1">
        <f>H215*Assumptions!H55</f>
        <v>0</v>
      </c>
      <c r="I222" s="1">
        <f>I215*Assumptions!I55</f>
        <v>0</v>
      </c>
      <c r="J222" s="1">
        <f>J215*Assumptions!J55</f>
        <v>0</v>
      </c>
      <c r="K222" s="1">
        <f>K215*Assumptions!K55</f>
        <v>0</v>
      </c>
      <c r="L222" s="1">
        <f>L215*Assumptions!L55</f>
        <v>0</v>
      </c>
    </row>
    <row r="223" spans="1:12" hidden="1" outlineLevel="1">
      <c r="A223" s="1" t="s">
        <v>898</v>
      </c>
      <c r="C223" s="1">
        <f>Assumptions!C54</f>
        <v>2.9000000000000001E-2</v>
      </c>
      <c r="D223" s="1">
        <f>Assumptions!D54</f>
        <v>0.03</v>
      </c>
      <c r="E223" s="1">
        <f>Assumptions!E54</f>
        <v>0.03</v>
      </c>
      <c r="F223" s="1">
        <f>Assumptions!F54</f>
        <v>2.9000000000000001E-2</v>
      </c>
      <c r="G223" s="1">
        <f>Assumptions!G54</f>
        <v>2.8000000000000001E-2</v>
      </c>
      <c r="H223" s="1">
        <f>Assumptions!$G$54+($L223-Assumptions!$G$54)*H$33</f>
        <v>3.0238237360720892E-2</v>
      </c>
      <c r="I223" s="1">
        <f>Assumptions!$G$54+($L223-Assumptions!$G$54)*I$33</f>
        <v>3.2476474721441786E-2</v>
      </c>
      <c r="J223" s="1">
        <f>Assumptions!$G$54+($L223-Assumptions!$G$54)*J$33</f>
        <v>3.4714712082162674E-2</v>
      </c>
      <c r="K223" s="1">
        <f>Assumptions!$G$54+($L223-Assumptions!$G$54)*K$33</f>
        <v>3.6952949442883562E-2</v>
      </c>
      <c r="L223" s="1">
        <f>((DCF!$L$9+L220)*DCF!$C$22/DCF!$C$24+DCF!$L$10+L221-(DCF!$L$12+L219)-(-Projections!$L$122+L222))/(Projections!$L$20+L215)</f>
        <v>3.9191186803604457E-2</v>
      </c>
    </row>
    <row r="224" spans="1:12" hidden="1" outlineLevel="1">
      <c r="A224" s="1" t="s">
        <v>899</v>
      </c>
      <c r="C224" s="1">
        <f>DCF!C13+C220+C221-((Projections!C20+C215)*C223+Projections!C121)-C222-C219</f>
        <v>9296.367277917785</v>
      </c>
      <c r="D224" s="1">
        <f>DCF!D13+D220+D221-((Projections!D20+D215)*D223+Projections!D121)-D222-D219</f>
        <v>11243.400349369118</v>
      </c>
      <c r="E224" s="1">
        <f>DCF!E13+E220+E221-((Projections!E20+E215)*E223+Projections!E121)-E222-E219</f>
        <v>12186.929317138394</v>
      </c>
      <c r="F224" s="1">
        <f>DCF!F13+F220+F221-((Projections!F20+F215)*F223+Projections!F121)-F222-F219</f>
        <v>13182.000651093638</v>
      </c>
      <c r="G224" s="1">
        <f>DCF!G13+G220+G221-((Projections!G20+G215)*G223+Projections!G121)-G222-G219</f>
        <v>14059.539481555836</v>
      </c>
      <c r="H224" s="1">
        <f>DCF!H13+H220+H221-((Projections!H20+H215)*H223+Projections!H121)-H222-H219</f>
        <v>14297.219027696316</v>
      </c>
      <c r="I224" s="1">
        <f>DCF!I13+I220+I221-((Projections!I20+I215)*I223+Projections!I121)-I222-I219</f>
        <v>14494.456170216406</v>
      </c>
      <c r="J224" s="1">
        <f>DCF!J13+J220+J221-((Projections!J20+J215)*J223+Projections!J121)-J222-J219</f>
        <v>14644.063198283286</v>
      </c>
      <c r="K224" s="1">
        <f>DCF!K13+K220+K221-((Projections!K20+K215)*K223+Projections!K121)-K222-K219</f>
        <v>14743.286789433145</v>
      </c>
      <c r="L224" s="1">
        <f>(DCF!$L$9+L220)*(1-DCF!$C$22/DCF!$C$24)</f>
        <v>14789.944439199537</v>
      </c>
    </row>
    <row r="225" spans="1:12" hidden="1" outlineLevel="1">
      <c r="A225" s="1" t="s">
        <v>30</v>
      </c>
      <c r="B225" s="1">
        <f>(SUMPRODUCT(C224:K224,DCF!$C$14:$K$14,DCF!$C$17:$K$17)+L224*DCF!$L$17*(1+(1+DCF!$C$22)/(DCF!$C$21-DCF!$C$22))+DCF!$C$44)/DCF!$C$46</f>
        <v>149.1576341342782</v>
      </c>
    </row>
    <row r="226" spans="1:12" hidden="1" outlineLevel="1"/>
    <row r="227" spans="1:12" hidden="1" outlineLevel="1">
      <c r="A227" s="1" t="s">
        <v>911</v>
      </c>
      <c r="B227" s="35">
        <f>$B$19-Assumptions!$C$28</f>
        <v>0</v>
      </c>
      <c r="C227" s="35">
        <f>$E$16-Assumptions!$C$38</f>
        <v>0</v>
      </c>
    </row>
    <row r="228" spans="1:12" hidden="1" outlineLevel="1">
      <c r="A228" s="1" t="s">
        <v>887</v>
      </c>
      <c r="C228" s="1">
        <f>Projections!B9*(1+Assumptions!C21+$B$227*C$32)</f>
        <v>14576.817142857148</v>
      </c>
      <c r="D228" s="1">
        <f>C228*(1+Assumptions!D21+$B$227*D$32)</f>
        <v>15742.96251428572</v>
      </c>
      <c r="E228" s="1">
        <f>D228*(1+Assumptions!E21+$B$227*E$32)</f>
        <v>16844.969890285724</v>
      </c>
      <c r="F228" s="1">
        <f>E228*(1+Assumptions!F21+$B$227*F$32)</f>
        <v>17855.668083702869</v>
      </c>
      <c r="G228" s="1">
        <f>F228*(1+Assumptions!G21+$B$227*G$32)</f>
        <v>18748.451487888015</v>
      </c>
      <c r="H228" s="1">
        <f>G228*(1+Assumptions!H21+$B$227*H$32)</f>
        <v>19610.880256330864</v>
      </c>
      <c r="I228" s="1">
        <f>H228*(1+Assumptions!I21+$B$227*I$32)</f>
        <v>20434.53722709676</v>
      </c>
      <c r="J228" s="1">
        <f>I228*(1+Assumptions!J21+$B$227*J$32)</f>
        <v>21211.049641726437</v>
      </c>
      <c r="K228" s="1">
        <f>J228*(1+Assumptions!K21+$B$227*K$32)</f>
        <v>21932.225329545137</v>
      </c>
      <c r="L228" s="1">
        <f>K228*(1+Assumptions!L21+$B$227*L$32)</f>
        <v>22590.192089431494</v>
      </c>
    </row>
    <row r="229" spans="1:12" hidden="1" outlineLevel="1">
      <c r="A229" s="1" t="s">
        <v>888</v>
      </c>
      <c r="C229" s="1">
        <f>Projections!B14*(1+Assumptions!C28+$B$227*C$32)</f>
        <v>19600.581538461542</v>
      </c>
      <c r="D229" s="1">
        <f>C229*(1+Assumptions!D28+$B$227*D$32)</f>
        <v>21952.651323076927</v>
      </c>
      <c r="E229" s="1">
        <f>D229*(1+Assumptions!E28+$B$227*E$32)</f>
        <v>23928.389942153852</v>
      </c>
      <c r="F229" s="1">
        <f>E229*(1+Assumptions!F28+$B$227*F$32)</f>
        <v>25603.377238104622</v>
      </c>
      <c r="G229" s="1">
        <f>F229*(1+Assumptions!G28+$B$227*G$32)</f>
        <v>27139.579872390899</v>
      </c>
      <c r="H229" s="1">
        <f>G229*(1+Assumptions!H28+$B$227*H$32)</f>
        <v>28605.11718550001</v>
      </c>
      <c r="I229" s="1">
        <f>H229*(1+Assumptions!I28+$B$227*I$32)</f>
        <v>29978.162810404014</v>
      </c>
      <c r="J229" s="1">
        <f>I229*(1+Assumptions!J28+$B$227*J$32)</f>
        <v>31237.245648440985</v>
      </c>
      <c r="K229" s="1">
        <f>J229*(1+Assumptions!K28+$B$227*K$32)</f>
        <v>32361.78649178486</v>
      </c>
      <c r="L229" s="1">
        <f>K229*(1+Assumptions!L28+$B$227*L$32)</f>
        <v>33332.640086538406</v>
      </c>
    </row>
    <row r="230" spans="1:12" hidden="1" outlineLevel="1">
      <c r="A230" s="1" t="s">
        <v>889</v>
      </c>
      <c r="C230" s="1">
        <f>(C228-Projections!C9)+(C229-Projections!C14)</f>
        <v>0</v>
      </c>
      <c r="D230" s="1">
        <f>(D228-Projections!D9)+(D229-Projections!D14)</f>
        <v>0</v>
      </c>
      <c r="E230" s="1">
        <f>(E228-Projections!E9)+(E229-Projections!E14)</f>
        <v>0</v>
      </c>
      <c r="F230" s="1">
        <f>(F228-Projections!F9)+(F229-Projections!F14)</f>
        <v>0</v>
      </c>
      <c r="G230" s="1">
        <f>(G228-Projections!G9)+(G229-Projections!G14)</f>
        <v>0</v>
      </c>
      <c r="H230" s="1">
        <f>(H228-Projections!H9)+(H229-Projections!H14)</f>
        <v>0</v>
      </c>
      <c r="I230" s="1">
        <f>(I228-Projections!I9)+(I229-Projections!I14)</f>
        <v>0</v>
      </c>
      <c r="J230" s="1">
        <f>(J228-Projections!J9)+(J229-Projections!J14)</f>
        <v>0</v>
      </c>
      <c r="K230" s="1">
        <f>(K228-Projections!K9)+(K229-Projections!K14)</f>
        <v>0</v>
      </c>
      <c r="L230" s="1">
        <f>(L228-Projections!L9)+(L229-Projections!L14)</f>
        <v>0</v>
      </c>
    </row>
    <row r="231" spans="1:12" hidden="1" outlineLevel="1">
      <c r="A231" s="1" t="s">
        <v>890</v>
      </c>
      <c r="C231" s="1">
        <f>C230*(1+Assumptions!C32)</f>
        <v>0</v>
      </c>
      <c r="D231" s="1">
        <f>D230*(1+Assumptions!D32)</f>
        <v>0</v>
      </c>
      <c r="E231" s="1">
        <f>E230*(1+Assumptions!E32)</f>
        <v>0</v>
      </c>
      <c r="F231" s="1">
        <f>F230*(1+Assumptions!F32)</f>
        <v>0</v>
      </c>
      <c r="G231" s="1">
        <f>G230*(1+Assumptions!G32)</f>
        <v>0</v>
      </c>
      <c r="H231" s="1">
        <f>H230*(1+Assumptions!H32)</f>
        <v>0</v>
      </c>
      <c r="I231" s="1">
        <f>I230*(1+Assumptions!I32)</f>
        <v>0</v>
      </c>
      <c r="J231" s="1">
        <f>J230*(1+Assumptions!J32)</f>
        <v>0</v>
      </c>
      <c r="K231" s="1">
        <f>K230*(1+Assumptions!K32)</f>
        <v>0</v>
      </c>
      <c r="L231" s="1">
        <f>L230*(1+Assumptions!L32)</f>
        <v>0</v>
      </c>
    </row>
    <row r="232" spans="1:12" hidden="1" outlineLevel="1">
      <c r="A232" s="1" t="s">
        <v>891</v>
      </c>
      <c r="C232" s="1">
        <f>(C228-Projections!C9)*Assumptions!C36+(C229-Projections!C14)*Assumptions!C37+C231*(Assumptions!C39+Assumptions!C40)+Projections!C17*$C$227</f>
        <v>0</v>
      </c>
      <c r="D232" s="1">
        <f>(D228-Projections!D9)*Assumptions!D36+(D229-Projections!D14)*Assumptions!D37+D231*(Assumptions!D39+Assumptions!D40)+Projections!D17*$C$227</f>
        <v>0</v>
      </c>
      <c r="E232" s="1">
        <f>(E228-Projections!E9)*Assumptions!E36+(E229-Projections!E14)*Assumptions!E37+E231*(Assumptions!E39+Assumptions!E40)+Projections!E17*$C$227</f>
        <v>0</v>
      </c>
      <c r="F232" s="1">
        <f>(F228-Projections!F9)*Assumptions!F36+(F229-Projections!F14)*Assumptions!F37+F231*(Assumptions!F39+Assumptions!F40)+Projections!F17*$C$227</f>
        <v>0</v>
      </c>
      <c r="G232" s="1">
        <f>(G228-Projections!G9)*Assumptions!G36+(G229-Projections!G14)*Assumptions!G37+G231*(Assumptions!G39+Assumptions!G40)+Projections!G17*$C$227</f>
        <v>0</v>
      </c>
      <c r="H232" s="1">
        <f>(H228-Projections!H9)*Assumptions!H36+(H229-Projections!H14)*Assumptions!H37+H231*(Assumptions!H39+Assumptions!H40)+Projections!H17*$C$227</f>
        <v>0</v>
      </c>
      <c r="I232" s="1">
        <f>(I228-Projections!I9)*Assumptions!I36+(I229-Projections!I14)*Assumptions!I37+I231*(Assumptions!I39+Assumptions!I40)+Projections!I17*$C$227</f>
        <v>0</v>
      </c>
      <c r="J232" s="1">
        <f>(J228-Projections!J9)*Assumptions!J36+(J229-Projections!J14)*Assumptions!J37+J231*(Assumptions!J39+Assumptions!J40)+Projections!J17*$C$227</f>
        <v>0</v>
      </c>
      <c r="K232" s="1">
        <f>(K228-Projections!K9)*Assumptions!K36+(K229-Projections!K14)*Assumptions!K37+K231*(Assumptions!K39+Assumptions!K40)+Projections!K17*$C$227</f>
        <v>0</v>
      </c>
      <c r="L232" s="1">
        <f>(L228-Projections!L9)*Assumptions!L36+(L229-Projections!L14)*Assumptions!L37+L231*(Assumptions!L39+Assumptions!L40)+Projections!L17*$C$227</f>
        <v>0</v>
      </c>
    </row>
    <row r="233" spans="1:12" hidden="1" outlineLevel="1">
      <c r="A233" s="1" t="s">
        <v>892</v>
      </c>
      <c r="C233" s="1">
        <f>C231*(1-Assumptions!C44-Assumptions!C45+Assumptions!C46)-C232</f>
        <v>0</v>
      </c>
      <c r="D233" s="1">
        <f>D231*(1-Assumptions!D44-Assumptions!D45+Assumptions!D46)-D232</f>
        <v>0</v>
      </c>
      <c r="E233" s="1">
        <f>E231*(1-Assumptions!E44-Assumptions!E45+Assumptions!E46)-E232</f>
        <v>0</v>
      </c>
      <c r="F233" s="1">
        <f>F231*(1-Assumptions!F44-Assumptions!F45+Assumptions!F46)-F232</f>
        <v>0</v>
      </c>
      <c r="G233" s="1">
        <f>G231*(1-Assumptions!G44-Assumptions!G45+Assumptions!G46)-G232</f>
        <v>0</v>
      </c>
      <c r="H233" s="1">
        <f>H231*(1-Assumptions!H44-Assumptions!H45+Assumptions!H46)-H232</f>
        <v>0</v>
      </c>
      <c r="I233" s="1">
        <f>I231*(1-Assumptions!I44-Assumptions!I45+Assumptions!I46)-I232</f>
        <v>0</v>
      </c>
      <c r="J233" s="1">
        <f>J231*(1-Assumptions!J44-Assumptions!J45+Assumptions!J46)-J232</f>
        <v>0</v>
      </c>
      <c r="K233" s="1">
        <f>K231*(1-Assumptions!K44-Assumptions!K45+Assumptions!K46)-K232</f>
        <v>0</v>
      </c>
      <c r="L233" s="1">
        <f>L231*(1-Assumptions!L44-Assumptions!L45+Assumptions!L46)-L232</f>
        <v>0</v>
      </c>
    </row>
    <row r="234" spans="1:12" hidden="1" outlineLevel="1">
      <c r="A234" s="1" t="s">
        <v>893</v>
      </c>
      <c r="C234" s="1">
        <f>C231*(Assumptions!C57/Assumptions!$C$9+Assumptions!C58+Assumptions!C62+Assumptions!C64+Assumptions!C65+Assumptions!C67-Assumptions!C63-Assumptions!C61-Assumptions!C66-Assumptions!C68)+C233*(Assumptions!C59-Assumptions!C60)/Assumptions!$C$9</f>
        <v>0</v>
      </c>
      <c r="D234" s="1">
        <f>D231*(Assumptions!D57/Assumptions!$C$9+Assumptions!D58+Assumptions!D62+Assumptions!D64+Assumptions!D65+Assumptions!D67-Assumptions!D63-Assumptions!D61-Assumptions!D66-Assumptions!D68)+D233*(Assumptions!D59-Assumptions!D60)/Assumptions!$C$9</f>
        <v>0</v>
      </c>
      <c r="E234" s="1">
        <f>E231*(Assumptions!E57/Assumptions!$C$9+Assumptions!E58+Assumptions!E62+Assumptions!E64+Assumptions!E65+Assumptions!E67-Assumptions!E63-Assumptions!E61-Assumptions!E66-Assumptions!E68)+E233*(Assumptions!E59-Assumptions!E60)/Assumptions!$C$9</f>
        <v>0</v>
      </c>
      <c r="F234" s="1">
        <f>F231*(Assumptions!F57/Assumptions!$C$9+Assumptions!F58+Assumptions!F62+Assumptions!F64+Assumptions!F65+Assumptions!F67-Assumptions!F63-Assumptions!F61-Assumptions!F66-Assumptions!F68)+F233*(Assumptions!F59-Assumptions!F60)/Assumptions!$C$9</f>
        <v>0</v>
      </c>
      <c r="G234" s="1">
        <f>G231*(Assumptions!G57/Assumptions!$C$9+Assumptions!G58+Assumptions!G62+Assumptions!G64+Assumptions!G65+Assumptions!G67-Assumptions!G63-Assumptions!G61-Assumptions!G66-Assumptions!G68)+G233*(Assumptions!G59-Assumptions!G60)/Assumptions!$C$9</f>
        <v>0</v>
      </c>
      <c r="H234" s="1">
        <f>H231*(Assumptions!H57/Assumptions!$C$9+Assumptions!H58+Assumptions!H62+Assumptions!H64+Assumptions!H65+Assumptions!H67-Assumptions!H63-Assumptions!H61-Assumptions!H66-Assumptions!H68)+H233*(Assumptions!H59-Assumptions!H60)/Assumptions!$C$9</f>
        <v>0</v>
      </c>
      <c r="I234" s="1">
        <f>I231*(Assumptions!I57/Assumptions!$C$9+Assumptions!I58+Assumptions!I62+Assumptions!I64+Assumptions!I65+Assumptions!I67-Assumptions!I63-Assumptions!I61-Assumptions!I66-Assumptions!I68)+I233*(Assumptions!I59-Assumptions!I60)/Assumptions!$C$9</f>
        <v>0</v>
      </c>
      <c r="J234" s="1">
        <f>J231*(Assumptions!J57/Assumptions!$C$9+Assumptions!J58+Assumptions!J62+Assumptions!J64+Assumptions!J65+Assumptions!J67-Assumptions!J63-Assumptions!J61-Assumptions!J66-Assumptions!J68)+J233*(Assumptions!J59-Assumptions!J60)/Assumptions!$C$9</f>
        <v>0</v>
      </c>
      <c r="K234" s="1">
        <f>K231*(Assumptions!K57/Assumptions!$C$9+Assumptions!K58+Assumptions!K62+Assumptions!K64+Assumptions!K65+Assumptions!K67-Assumptions!K63-Assumptions!K61-Assumptions!K66-Assumptions!K68)+K233*(Assumptions!K59-Assumptions!K60)/Assumptions!$C$9</f>
        <v>0</v>
      </c>
      <c r="L234" s="1">
        <f>L231*(Assumptions!L57/Assumptions!$C$9+Assumptions!L58+Assumptions!L62+Assumptions!L64+Assumptions!L65+Assumptions!L67-Assumptions!L63-Assumptions!L61-Assumptions!L66-Assumptions!L68)+L233*(Assumptions!L59-Assumptions!L60)/Assumptions!$C$9</f>
        <v>0</v>
      </c>
    </row>
    <row r="235" spans="1:12" hidden="1" outlineLevel="1">
      <c r="A235" s="1" t="s">
        <v>894</v>
      </c>
      <c r="C235" s="1">
        <f>C234</f>
        <v>0</v>
      </c>
      <c r="D235" s="1">
        <f>D234-C234</f>
        <v>0</v>
      </c>
      <c r="E235" s="1">
        <f>E234-D234</f>
        <v>0</v>
      </c>
      <c r="F235" s="1">
        <f>F234-E234</f>
        <v>0</v>
      </c>
      <c r="G235" s="1">
        <f>G234-F234</f>
        <v>0</v>
      </c>
      <c r="H235" s="1">
        <f>H234-G234</f>
        <v>0</v>
      </c>
      <c r="I235" s="1">
        <f>I234-H234</f>
        <v>0</v>
      </c>
      <c r="J235" s="1">
        <f>J234-I234</f>
        <v>0</v>
      </c>
      <c r="K235" s="1">
        <f>K234-J234</f>
        <v>0</v>
      </c>
      <c r="L235" s="1">
        <f>L234-K234</f>
        <v>0</v>
      </c>
    </row>
    <row r="236" spans="1:12" hidden="1" outlineLevel="1">
      <c r="A236" s="1" t="s">
        <v>895</v>
      </c>
      <c r="C236" s="1">
        <f>C232*(1-Assumptions!C49)</f>
        <v>0</v>
      </c>
      <c r="D236" s="1">
        <f>D232*(1-Assumptions!D49)</f>
        <v>0</v>
      </c>
      <c r="E236" s="1">
        <f>E232*(1-Assumptions!E49)</f>
        <v>0</v>
      </c>
      <c r="F236" s="1">
        <f>F232*(1-Assumptions!F49)</f>
        <v>0</v>
      </c>
      <c r="G236" s="1">
        <f>G232*(1-Assumptions!G49)</f>
        <v>0</v>
      </c>
      <c r="H236" s="1">
        <f>H232*(1-Assumptions!H49)</f>
        <v>0</v>
      </c>
      <c r="I236" s="1">
        <f>I232*(1-Assumptions!I49)</f>
        <v>0</v>
      </c>
      <c r="J236" s="1">
        <f>J232*(1-Assumptions!J49)</f>
        <v>0</v>
      </c>
      <c r="K236" s="1">
        <f>K232*(1-Assumptions!K49)</f>
        <v>0</v>
      </c>
      <c r="L236" s="1">
        <f>L232*(1-Assumptions!L49)</f>
        <v>0</v>
      </c>
    </row>
    <row r="237" spans="1:12" hidden="1" outlineLevel="1">
      <c r="A237" s="1" t="s">
        <v>896</v>
      </c>
      <c r="C237" s="1">
        <f>C231*Assumptions!C53</f>
        <v>0</v>
      </c>
      <c r="D237" s="1">
        <f>D231*Assumptions!D53</f>
        <v>0</v>
      </c>
      <c r="E237" s="1">
        <f>E231*Assumptions!E53</f>
        <v>0</v>
      </c>
      <c r="F237" s="1">
        <f>F231*Assumptions!F53</f>
        <v>0</v>
      </c>
      <c r="G237" s="1">
        <f>G231*Assumptions!G53</f>
        <v>0</v>
      </c>
      <c r="H237" s="1">
        <f>H231*Assumptions!H53</f>
        <v>0</v>
      </c>
      <c r="I237" s="1">
        <f>I231*Assumptions!I53</f>
        <v>0</v>
      </c>
      <c r="J237" s="1">
        <f>J231*Assumptions!J53</f>
        <v>0</v>
      </c>
      <c r="K237" s="1">
        <f>K231*Assumptions!K53</f>
        <v>0</v>
      </c>
      <c r="L237" s="1">
        <f>L231*Assumptions!L53</f>
        <v>0</v>
      </c>
    </row>
    <row r="238" spans="1:12" hidden="1" outlineLevel="1">
      <c r="A238" s="1" t="s">
        <v>897</v>
      </c>
      <c r="C238" s="1">
        <f>C231*Assumptions!C55</f>
        <v>0</v>
      </c>
      <c r="D238" s="1">
        <f>D231*Assumptions!D55</f>
        <v>0</v>
      </c>
      <c r="E238" s="1">
        <f>E231*Assumptions!E55</f>
        <v>0</v>
      </c>
      <c r="F238" s="1">
        <f>F231*Assumptions!F55</f>
        <v>0</v>
      </c>
      <c r="G238" s="1">
        <f>G231*Assumptions!G55</f>
        <v>0</v>
      </c>
      <c r="H238" s="1">
        <f>H231*Assumptions!H55</f>
        <v>0</v>
      </c>
      <c r="I238" s="1">
        <f>I231*Assumptions!I55</f>
        <v>0</v>
      </c>
      <c r="J238" s="1">
        <f>J231*Assumptions!J55</f>
        <v>0</v>
      </c>
      <c r="K238" s="1">
        <f>K231*Assumptions!K55</f>
        <v>0</v>
      </c>
      <c r="L238" s="1">
        <f>L231*Assumptions!L55</f>
        <v>0</v>
      </c>
    </row>
    <row r="239" spans="1:12" hidden="1" outlineLevel="1">
      <c r="A239" s="1" t="s">
        <v>898</v>
      </c>
      <c r="C239" s="1">
        <f>Assumptions!C54</f>
        <v>2.9000000000000001E-2</v>
      </c>
      <c r="D239" s="1">
        <f>Assumptions!D54</f>
        <v>0.03</v>
      </c>
      <c r="E239" s="1">
        <f>Assumptions!E54</f>
        <v>0.03</v>
      </c>
      <c r="F239" s="1">
        <f>Assumptions!F54</f>
        <v>2.9000000000000001E-2</v>
      </c>
      <c r="G239" s="1">
        <f>Assumptions!G54</f>
        <v>2.8000000000000001E-2</v>
      </c>
      <c r="H239" s="1">
        <f>Assumptions!$G$54+($L239-Assumptions!$G$54)*H$33</f>
        <v>3.0275874518984454E-2</v>
      </c>
      <c r="I239" s="1">
        <f>Assumptions!$G$54+($L239-Assumptions!$G$54)*I$33</f>
        <v>3.2551749037968904E-2</v>
      </c>
      <c r="J239" s="1">
        <f>Assumptions!$G$54+($L239-Assumptions!$G$54)*J$33</f>
        <v>3.4827623556953353E-2</v>
      </c>
      <c r="K239" s="1">
        <f>Assumptions!$G$54+($L239-Assumptions!$G$54)*K$33</f>
        <v>3.710349807593781E-2</v>
      </c>
      <c r="L239" s="1">
        <f>((DCF!$L$9+L236)*DCF!$C$22/DCF!$C$24+DCF!$L$10+L237-(DCF!$L$12+L235)-(-Projections!$L$122+L238))/(Projections!$L$20+L231)</f>
        <v>3.937937259492226E-2</v>
      </c>
    </row>
    <row r="240" spans="1:12" hidden="1" outlineLevel="1">
      <c r="A240" s="1" t="s">
        <v>899</v>
      </c>
      <c r="C240" s="1">
        <f>DCF!C13+C236+C237-((Projections!C20+C231)*C239+Projections!C121)-C238-C235</f>
        <v>9421.0730603047887</v>
      </c>
      <c r="D240" s="1">
        <f>DCF!D13+D236+D237-((Projections!D20+D231)*D239+Projections!D121)-D238-D235</f>
        <v>11379.002669560425</v>
      </c>
      <c r="E240" s="1">
        <f>DCF!E13+E236+E237-((Projections!E20+E231)*E239+Projections!E121)-E238-E235</f>
        <v>12330.725387935106</v>
      </c>
      <c r="F240" s="1">
        <f>DCF!F13+F236+F237-((Projections!F20+F231)*F239+Projections!F121)-F238-F235</f>
        <v>13333.048169621688</v>
      </c>
      <c r="G240" s="1">
        <f>DCF!G13+G236+G237-((Projections!G20+G231)*G239+Projections!G121)-G238-G235</f>
        <v>14216.694243668</v>
      </c>
      <c r="H240" s="1">
        <f>DCF!H13+H236+H237-((Projections!H20+H231)*H239+Projections!H121)-H238-H235</f>
        <v>14455.504920599829</v>
      </c>
      <c r="I240" s="1">
        <f>DCF!I13+I236+I237-((Projections!I20+I231)*I239+Projections!I121)-I238-I235</f>
        <v>14653.386495935465</v>
      </c>
      <c r="J240" s="1">
        <f>DCF!J13+J236+J237-((Projections!J20+J231)*J239+Projections!J121)-J238-J235</f>
        <v>14803.150949889436</v>
      </c>
      <c r="K240" s="1">
        <f>DCF!K13+K236+K237-((Projections!K20+K231)*K239+Projections!K121)-K238-K235</f>
        <v>14902.051091635152</v>
      </c>
      <c r="L240" s="1">
        <f>(DCF!$L$9+L236)*(1-DCF!$C$22/DCF!$C$24)</f>
        <v>14947.916848032988</v>
      </c>
    </row>
    <row r="241" spans="1:12" hidden="1" outlineLevel="1">
      <c r="A241" s="1" t="s">
        <v>30</v>
      </c>
      <c r="B241" s="1">
        <f>(SUMPRODUCT(C240:K240,DCF!$C$14:$K$14,DCF!$C$17:$K$17)+L240*DCF!$L$17*(1+(1+DCF!$C$22)/(DCF!$C$21-DCF!$C$22))+DCF!$C$44)/DCF!$C$46</f>
        <v>151.02294504401794</v>
      </c>
    </row>
    <row r="242" spans="1:12" hidden="1" outlineLevel="1"/>
    <row r="243" spans="1:12" hidden="1" outlineLevel="1">
      <c r="A243" s="1" t="s">
        <v>912</v>
      </c>
      <c r="B243" s="35">
        <f>$B$19-Assumptions!$C$28</f>
        <v>0</v>
      </c>
      <c r="C243" s="35">
        <f>$F$16-Assumptions!$C$38</f>
        <v>5.0000000000000044E-3</v>
      </c>
    </row>
    <row r="244" spans="1:12" hidden="1" outlineLevel="1">
      <c r="A244" s="1" t="s">
        <v>887</v>
      </c>
      <c r="C244" s="1">
        <f>Projections!B9*(1+Assumptions!C21+$B$243*C$32)</f>
        <v>14576.817142857148</v>
      </c>
      <c r="D244" s="1">
        <f>C244*(1+Assumptions!D21+$B$243*D$32)</f>
        <v>15742.96251428572</v>
      </c>
      <c r="E244" s="1">
        <f>D244*(1+Assumptions!E21+$B$243*E$32)</f>
        <v>16844.969890285724</v>
      </c>
      <c r="F244" s="1">
        <f>E244*(1+Assumptions!F21+$B$243*F$32)</f>
        <v>17855.668083702869</v>
      </c>
      <c r="G244" s="1">
        <f>F244*(1+Assumptions!G21+$B$243*G$32)</f>
        <v>18748.451487888015</v>
      </c>
      <c r="H244" s="1">
        <f>G244*(1+Assumptions!H21+$B$243*H$32)</f>
        <v>19610.880256330864</v>
      </c>
      <c r="I244" s="1">
        <f>H244*(1+Assumptions!I21+$B$243*I$32)</f>
        <v>20434.53722709676</v>
      </c>
      <c r="J244" s="1">
        <f>I244*(1+Assumptions!J21+$B$243*J$32)</f>
        <v>21211.049641726437</v>
      </c>
      <c r="K244" s="1">
        <f>J244*(1+Assumptions!K21+$B$243*K$32)</f>
        <v>21932.225329545137</v>
      </c>
      <c r="L244" s="1">
        <f>K244*(1+Assumptions!L21+$B$243*L$32)</f>
        <v>22590.192089431494</v>
      </c>
    </row>
    <row r="245" spans="1:12" hidden="1" outlineLevel="1">
      <c r="A245" s="1" t="s">
        <v>888</v>
      </c>
      <c r="C245" s="1">
        <f>Projections!B14*(1+Assumptions!C28+$B$243*C$32)</f>
        <v>19600.581538461542</v>
      </c>
      <c r="D245" s="1">
        <f>C245*(1+Assumptions!D28+$B$243*D$32)</f>
        <v>21952.651323076927</v>
      </c>
      <c r="E245" s="1">
        <f>D245*(1+Assumptions!E28+$B$243*E$32)</f>
        <v>23928.389942153852</v>
      </c>
      <c r="F245" s="1">
        <f>E245*(1+Assumptions!F28+$B$243*F$32)</f>
        <v>25603.377238104622</v>
      </c>
      <c r="G245" s="1">
        <f>F245*(1+Assumptions!G28+$B$243*G$32)</f>
        <v>27139.579872390899</v>
      </c>
      <c r="H245" s="1">
        <f>G245*(1+Assumptions!H28+$B$243*H$32)</f>
        <v>28605.11718550001</v>
      </c>
      <c r="I245" s="1">
        <f>H245*(1+Assumptions!I28+$B$243*I$32)</f>
        <v>29978.162810404014</v>
      </c>
      <c r="J245" s="1">
        <f>I245*(1+Assumptions!J28+$B$243*J$32)</f>
        <v>31237.245648440985</v>
      </c>
      <c r="K245" s="1">
        <f>J245*(1+Assumptions!K28+$B$243*K$32)</f>
        <v>32361.78649178486</v>
      </c>
      <c r="L245" s="1">
        <f>K245*(1+Assumptions!L28+$B$243*L$32)</f>
        <v>33332.640086538406</v>
      </c>
    </row>
    <row r="246" spans="1:12" hidden="1" outlineLevel="1">
      <c r="A246" s="1" t="s">
        <v>889</v>
      </c>
      <c r="C246" s="1">
        <f>(C244-Projections!C9)+(C245-Projections!C14)</f>
        <v>0</v>
      </c>
      <c r="D246" s="1">
        <f>(D244-Projections!D9)+(D245-Projections!D14)</f>
        <v>0</v>
      </c>
      <c r="E246" s="1">
        <f>(E244-Projections!E9)+(E245-Projections!E14)</f>
        <v>0</v>
      </c>
      <c r="F246" s="1">
        <f>(F244-Projections!F9)+(F245-Projections!F14)</f>
        <v>0</v>
      </c>
      <c r="G246" s="1">
        <f>(G244-Projections!G9)+(G245-Projections!G14)</f>
        <v>0</v>
      </c>
      <c r="H246" s="1">
        <f>(H244-Projections!H9)+(H245-Projections!H14)</f>
        <v>0</v>
      </c>
      <c r="I246" s="1">
        <f>(I244-Projections!I9)+(I245-Projections!I14)</f>
        <v>0</v>
      </c>
      <c r="J246" s="1">
        <f>(J244-Projections!J9)+(J245-Projections!J14)</f>
        <v>0</v>
      </c>
      <c r="K246" s="1">
        <f>(K244-Projections!K9)+(K245-Projections!K14)</f>
        <v>0</v>
      </c>
      <c r="L246" s="1">
        <f>(L244-Projections!L9)+(L245-Projections!L14)</f>
        <v>0</v>
      </c>
    </row>
    <row r="247" spans="1:12" hidden="1" outlineLevel="1">
      <c r="A247" s="1" t="s">
        <v>890</v>
      </c>
      <c r="C247" s="1">
        <f>C246*(1+Assumptions!C32)</f>
        <v>0</v>
      </c>
      <c r="D247" s="1">
        <f>D246*(1+Assumptions!D32)</f>
        <v>0</v>
      </c>
      <c r="E247" s="1">
        <f>E246*(1+Assumptions!E32)</f>
        <v>0</v>
      </c>
      <c r="F247" s="1">
        <f>F246*(1+Assumptions!F32)</f>
        <v>0</v>
      </c>
      <c r="G247" s="1">
        <f>G246*(1+Assumptions!G32)</f>
        <v>0</v>
      </c>
      <c r="H247" s="1">
        <f>H246*(1+Assumptions!H32)</f>
        <v>0</v>
      </c>
      <c r="I247" s="1">
        <f>I246*(1+Assumptions!I32)</f>
        <v>0</v>
      </c>
      <c r="J247" s="1">
        <f>J246*(1+Assumptions!J32)</f>
        <v>0</v>
      </c>
      <c r="K247" s="1">
        <f>K246*(1+Assumptions!K32)</f>
        <v>0</v>
      </c>
      <c r="L247" s="1">
        <f>L246*(1+Assumptions!L32)</f>
        <v>0</v>
      </c>
    </row>
    <row r="248" spans="1:12" hidden="1" outlineLevel="1">
      <c r="A248" s="1" t="s">
        <v>891</v>
      </c>
      <c r="C248" s="1">
        <f>(C244-Projections!C9)*Assumptions!C36+(C245-Projections!C14)*Assumptions!C37+C247*(Assumptions!C39+Assumptions!C40)+Projections!C17*$C$243</f>
        <v>157.04080000000016</v>
      </c>
      <c r="D248" s="1">
        <f>(D244-Projections!D9)*Assumptions!D36+(D245-Projections!D14)*Assumptions!D37+D247*(Assumptions!D39+Assumptions!D40)+Projections!D17*$C$243</f>
        <v>168.03365600000021</v>
      </c>
      <c r="E248" s="1">
        <f>(E244-Projections!E9)*Assumptions!E36+(E245-Projections!E14)*Assumptions!E37+E247*(Assumptions!E39+Assumptions!E40)+Projections!E17*$C$243</f>
        <v>178.11567536000021</v>
      </c>
      <c r="F248" s="1">
        <f>(F244-Projections!F9)*Assumptions!F36+(F245-Projections!F14)*Assumptions!F37+F247*(Assumptions!F39+Assumptions!F40)+Projections!F17*$C$243</f>
        <v>187.02145912800023</v>
      </c>
      <c r="G248" s="1">
        <f>(G244-Projections!G9)*Assumptions!G36+(G245-Projections!G14)*Assumptions!G37+G247*(Assumptions!G39+Assumptions!G40)+Projections!G17*$C$243</f>
        <v>194.50231749312024</v>
      </c>
      <c r="H248" s="1">
        <f>(H244-Projections!H9)*Assumptions!H36+(H245-Projections!H14)*Assumptions!H37+H247*(Assumptions!H39+Assumptions!H40)+Projections!H17*$C$243</f>
        <v>201.89340555785881</v>
      </c>
      <c r="I248" s="1">
        <f>(I244-Projections!I9)*Assumptions!I36+(I245-Projections!I14)*Assumptions!I37+I247*(Assumptions!I39+Assumptions!I40)+Projections!I17*$C$243</f>
        <v>209.16156815794173</v>
      </c>
      <c r="J248" s="1">
        <f>(J244-Projections!J9)*Assumptions!J36+(J245-Projections!J14)*Assumptions!J37+J247*(Assumptions!J39+Assumptions!J40)+Projections!J17*$C$243</f>
        <v>216.27306147531175</v>
      </c>
      <c r="K248" s="1">
        <f>(K244-Projections!K9)*Assumptions!K36+(K245-Projections!K14)*Assumptions!K37+K247*(Assumptions!K39+Assumptions!K40)+Projections!K17*$C$243</f>
        <v>223.19379944252171</v>
      </c>
      <c r="L248" s="1">
        <f>(L244-Projections!L9)*Assumptions!L36+(L245-Projections!L14)*Assumptions!L37+L247*(Assumptions!L39+Assumptions!L40)+Projections!L17*$C$243</f>
        <v>229.88961342579739</v>
      </c>
    </row>
    <row r="249" spans="1:12" hidden="1" outlineLevel="1">
      <c r="A249" s="1" t="s">
        <v>892</v>
      </c>
      <c r="C249" s="1">
        <f>C247*(1-Assumptions!C44-Assumptions!C45+Assumptions!C46)-C248</f>
        <v>-157.04080000000016</v>
      </c>
      <c r="D249" s="1">
        <f>D247*(1-Assumptions!D44-Assumptions!D45+Assumptions!D46)-D248</f>
        <v>-168.03365600000021</v>
      </c>
      <c r="E249" s="1">
        <f>E247*(1-Assumptions!E44-Assumptions!E45+Assumptions!E46)-E248</f>
        <v>-178.11567536000021</v>
      </c>
      <c r="F249" s="1">
        <f>F247*(1-Assumptions!F44-Assumptions!F45+Assumptions!F46)-F248</f>
        <v>-187.02145912800023</v>
      </c>
      <c r="G249" s="1">
        <f>G247*(1-Assumptions!G44-Assumptions!G45+Assumptions!G46)-G248</f>
        <v>-194.50231749312024</v>
      </c>
      <c r="H249" s="1">
        <f>H247*(1-Assumptions!H44-Assumptions!H45+Assumptions!H46)-H248</f>
        <v>-201.89340555785881</v>
      </c>
      <c r="I249" s="1">
        <f>I247*(1-Assumptions!I44-Assumptions!I45+Assumptions!I46)-I248</f>
        <v>-209.16156815794173</v>
      </c>
      <c r="J249" s="1">
        <f>J247*(1-Assumptions!J44-Assumptions!J45+Assumptions!J46)-J248</f>
        <v>-216.27306147531175</v>
      </c>
      <c r="K249" s="1">
        <f>K247*(1-Assumptions!K44-Assumptions!K45+Assumptions!K46)-K248</f>
        <v>-223.19379944252171</v>
      </c>
      <c r="L249" s="1">
        <f>L247*(1-Assumptions!L44-Assumptions!L45+Assumptions!L46)-L248</f>
        <v>-229.88961342579739</v>
      </c>
    </row>
    <row r="250" spans="1:12" hidden="1" outlineLevel="1">
      <c r="A250" s="1" t="s">
        <v>893</v>
      </c>
      <c r="C250" s="1">
        <f>C247*(Assumptions!C57/Assumptions!$C$9+Assumptions!C58+Assumptions!C62+Assumptions!C64+Assumptions!C65+Assumptions!C67-Assumptions!C63-Assumptions!C61-Assumptions!C66-Assumptions!C68)+C249*(Assumptions!C59-Assumptions!C60)/Assumptions!$C$9</f>
        <v>5.7611393927476167</v>
      </c>
      <c r="D250" s="1">
        <f>D247*(Assumptions!D57/Assumptions!$C$9+Assumptions!D58+Assumptions!D62+Assumptions!D64+Assumptions!D65+Assumptions!D67-Assumptions!D63-Assumptions!D61-Assumptions!D66-Assumptions!D68)+D249*(Assumptions!D59-Assumptions!D60)/Assumptions!$C$9</f>
        <v>6.1644191502399526</v>
      </c>
      <c r="E250" s="1">
        <f>E247*(Assumptions!E57/Assumptions!$C$9+Assumptions!E58+Assumptions!E62+Assumptions!E64+Assumptions!E65+Assumptions!E67-Assumptions!E63-Assumptions!E61-Assumptions!E66-Assumptions!E68)+E249*(Assumptions!E59-Assumptions!E60)/Assumptions!$C$9</f>
        <v>6.5342842992543488</v>
      </c>
      <c r="F250" s="1">
        <f>F247*(Assumptions!F57/Assumptions!$C$9+Assumptions!F58+Assumptions!F62+Assumptions!F64+Assumptions!F65+Assumptions!F67-Assumptions!F63-Assumptions!F61-Assumptions!F66-Assumptions!F68)+F249*(Assumptions!F59-Assumptions!F60)/Assumptions!$C$9</f>
        <v>6.8609985142170666</v>
      </c>
      <c r="G250" s="1">
        <f>G247*(Assumptions!G57/Assumptions!$C$9+Assumptions!G58+Assumptions!G62+Assumptions!G64+Assumptions!G65+Assumptions!G67-Assumptions!G63-Assumptions!G61-Assumptions!G66-Assumptions!G68)+G249*(Assumptions!G59-Assumptions!G60)/Assumptions!$C$9</f>
        <v>7.1354384547857492</v>
      </c>
      <c r="H250" s="1">
        <f>H247*(Assumptions!H57/Assumptions!$C$9+Assumptions!H58+Assumptions!H62+Assumptions!H64+Assumptions!H65+Assumptions!H67-Assumptions!H63-Assumptions!H61-Assumptions!H66-Assumptions!H68)+H249*(Assumptions!H59-Assumptions!H60)/Assumptions!$C$9</f>
        <v>7.4065851160676077</v>
      </c>
      <c r="I250" s="1">
        <f>I247*(Assumptions!I57/Assumptions!$C$9+Assumptions!I58+Assumptions!I62+Assumptions!I64+Assumptions!I65+Assumptions!I67-Assumptions!I63-Assumptions!I61-Assumptions!I66-Assumptions!I68)+I249*(Assumptions!I59-Assumptions!I60)/Assumptions!$C$9</f>
        <v>7.6732221802460412</v>
      </c>
      <c r="J250" s="1">
        <f>J247*(Assumptions!J57/Assumptions!$C$9+Assumptions!J58+Assumptions!J62+Assumptions!J64+Assumptions!J65+Assumptions!J67-Assumptions!J63-Assumptions!J61-Assumptions!J66-Assumptions!J68)+J249*(Assumptions!J59-Assumptions!J60)/Assumptions!$C$9</f>
        <v>7.9341117343744072</v>
      </c>
      <c r="K250" s="1">
        <f>K247*(Assumptions!K57/Assumptions!$C$9+Assumptions!K58+Assumptions!K62+Assumptions!K64+Assumptions!K65+Assumptions!K67-Assumptions!K63-Assumptions!K61-Assumptions!K66-Assumptions!K68)+K249*(Assumptions!K59-Assumptions!K60)/Assumptions!$C$9</f>
        <v>8.1880033098743876</v>
      </c>
      <c r="L250" s="1">
        <f>L247*(Assumptions!L57/Assumptions!$C$9+Assumptions!L58+Assumptions!L62+Assumptions!L64+Assumptions!L65+Assumptions!L67-Assumptions!L63-Assumptions!L61-Assumptions!L66-Assumptions!L68)+L249*(Assumptions!L59-Assumptions!L60)/Assumptions!$C$9</f>
        <v>8.4336434091706209</v>
      </c>
    </row>
    <row r="251" spans="1:12" hidden="1" outlineLevel="1">
      <c r="A251" s="1" t="s">
        <v>894</v>
      </c>
      <c r="C251" s="1">
        <f>C250</f>
        <v>5.7611393927476167</v>
      </c>
      <c r="D251" s="1">
        <f>D250-C250</f>
        <v>0.40327975749233591</v>
      </c>
      <c r="E251" s="1">
        <f>E250-D250</f>
        <v>0.36986514901439627</v>
      </c>
      <c r="F251" s="1">
        <f>F250-E250</f>
        <v>0.3267142149627178</v>
      </c>
      <c r="G251" s="1">
        <f>G250-F250</f>
        <v>0.27443994056868259</v>
      </c>
      <c r="H251" s="1">
        <f>H250-G250</f>
        <v>0.27114666128185849</v>
      </c>
      <c r="I251" s="1">
        <f>I250-H250</f>
        <v>0.26663706417843347</v>
      </c>
      <c r="J251" s="1">
        <f>J250-I250</f>
        <v>0.26088955412836601</v>
      </c>
      <c r="K251" s="1">
        <f>K250-J250</f>
        <v>0.25389157549998043</v>
      </c>
      <c r="L251" s="1">
        <f>L250-K250</f>
        <v>0.24564009929623332</v>
      </c>
    </row>
    <row r="252" spans="1:12" hidden="1" outlineLevel="1">
      <c r="A252" s="1" t="s">
        <v>895</v>
      </c>
      <c r="C252" s="1">
        <f>C248*(1-Assumptions!C49)</f>
        <v>130.46692177975024</v>
      </c>
      <c r="D252" s="1">
        <f>D248*(1-Assumptions!D49)</f>
        <v>136.00559994879907</v>
      </c>
      <c r="E252" s="1">
        <f>E248*(1-Assumptions!E49)</f>
        <v>144.165935945727</v>
      </c>
      <c r="F252" s="1">
        <f>F248*(1-Assumptions!F49)</f>
        <v>151.37423274301338</v>
      </c>
      <c r="G252" s="1">
        <f>G248*(1-Assumptions!G49)</f>
        <v>157.4292020527339</v>
      </c>
      <c r="H252" s="1">
        <f>H248*(1-Assumptions!H49)</f>
        <v>163.4115117307378</v>
      </c>
      <c r="I252" s="1">
        <f>I248*(1-Assumptions!I49)</f>
        <v>169.29432615304435</v>
      </c>
      <c r="J252" s="1">
        <f>J248*(1-Assumptions!J49)</f>
        <v>175.05033324224786</v>
      </c>
      <c r="K252" s="1">
        <f>K248*(1-Assumptions!K49)</f>
        <v>180.65194390599979</v>
      </c>
      <c r="L252" s="1">
        <f>L248*(1-Assumptions!L49)</f>
        <v>186.07150222317981</v>
      </c>
    </row>
    <row r="253" spans="1:12" hidden="1" outlineLevel="1">
      <c r="A253" s="1" t="s">
        <v>896</v>
      </c>
      <c r="C253" s="1">
        <f>C247*Assumptions!C53</f>
        <v>0</v>
      </c>
      <c r="D253" s="1">
        <f>D247*Assumptions!D53</f>
        <v>0</v>
      </c>
      <c r="E253" s="1">
        <f>E247*Assumptions!E53</f>
        <v>0</v>
      </c>
      <c r="F253" s="1">
        <f>F247*Assumptions!F53</f>
        <v>0</v>
      </c>
      <c r="G253" s="1">
        <f>G247*Assumptions!G53</f>
        <v>0</v>
      </c>
      <c r="H253" s="1">
        <f>H247*Assumptions!H53</f>
        <v>0</v>
      </c>
      <c r="I253" s="1">
        <f>I247*Assumptions!I53</f>
        <v>0</v>
      </c>
      <c r="J253" s="1">
        <f>J247*Assumptions!J53</f>
        <v>0</v>
      </c>
      <c r="K253" s="1">
        <f>K247*Assumptions!K53</f>
        <v>0</v>
      </c>
      <c r="L253" s="1">
        <f>L247*Assumptions!L53</f>
        <v>0</v>
      </c>
    </row>
    <row r="254" spans="1:12" hidden="1" outlineLevel="1">
      <c r="A254" s="1" t="s">
        <v>897</v>
      </c>
      <c r="C254" s="1">
        <f>C247*Assumptions!C55</f>
        <v>0</v>
      </c>
      <c r="D254" s="1">
        <f>D247*Assumptions!D55</f>
        <v>0</v>
      </c>
      <c r="E254" s="1">
        <f>E247*Assumptions!E55</f>
        <v>0</v>
      </c>
      <c r="F254" s="1">
        <f>F247*Assumptions!F55</f>
        <v>0</v>
      </c>
      <c r="G254" s="1">
        <f>G247*Assumptions!G55</f>
        <v>0</v>
      </c>
      <c r="H254" s="1">
        <f>H247*Assumptions!H55</f>
        <v>0</v>
      </c>
      <c r="I254" s="1">
        <f>I247*Assumptions!I55</f>
        <v>0</v>
      </c>
      <c r="J254" s="1">
        <f>J247*Assumptions!J55</f>
        <v>0</v>
      </c>
      <c r="K254" s="1">
        <f>K247*Assumptions!K55</f>
        <v>0</v>
      </c>
      <c r="L254" s="1">
        <f>L247*Assumptions!L55</f>
        <v>0</v>
      </c>
    </row>
    <row r="255" spans="1:12" hidden="1" outlineLevel="1">
      <c r="A255" s="1" t="s">
        <v>898</v>
      </c>
      <c r="C255" s="1">
        <f>Assumptions!C54</f>
        <v>2.9000000000000001E-2</v>
      </c>
      <c r="D255" s="1">
        <f>Assumptions!D54</f>
        <v>0.03</v>
      </c>
      <c r="E255" s="1">
        <f>Assumptions!E54</f>
        <v>0.03</v>
      </c>
      <c r="F255" s="1">
        <f>Assumptions!F54</f>
        <v>2.9000000000000001E-2</v>
      </c>
      <c r="G255" s="1">
        <f>Assumptions!G54</f>
        <v>2.8000000000000001E-2</v>
      </c>
      <c r="H255" s="1">
        <f>Assumptions!$G$54+($L255-Assumptions!$G$54)*H$33</f>
        <v>3.0313511677248016E-2</v>
      </c>
      <c r="I255" s="1">
        <f>Assumptions!$G$54+($L255-Assumptions!$G$54)*I$33</f>
        <v>3.2627023354496028E-2</v>
      </c>
      <c r="J255" s="1">
        <f>Assumptions!$G$54+($L255-Assumptions!$G$54)*J$33</f>
        <v>3.494053503174404E-2</v>
      </c>
      <c r="K255" s="1">
        <f>Assumptions!$G$54+($L255-Assumptions!$G$54)*K$33</f>
        <v>3.7254046708992059E-2</v>
      </c>
      <c r="L255" s="1">
        <f>((DCF!$L$9+L252)*DCF!$C$22/DCF!$C$24+DCF!$L$10+L253-(DCF!$L$12+L251)-(-Projections!$L$122+L254))/(Projections!$L$20+L247)</f>
        <v>3.956755838624007E-2</v>
      </c>
    </row>
    <row r="256" spans="1:12" hidden="1" outlineLevel="1">
      <c r="A256" s="1" t="s">
        <v>899</v>
      </c>
      <c r="C256" s="1">
        <f>DCF!C13+C252+C253-((Projections!C20+C247)*C255+Projections!C121)-C254-C251</f>
        <v>9545.7788426917923</v>
      </c>
      <c r="D256" s="1">
        <f>DCF!D13+D252+D253-((Projections!D20+D247)*D255+Projections!D121)-D254-D251</f>
        <v>11514.604989751731</v>
      </c>
      <c r="E256" s="1">
        <f>DCF!E13+E252+E253-((Projections!E20+E247)*E255+Projections!E121)-E254-E251</f>
        <v>12474.521458731819</v>
      </c>
      <c r="F256" s="1">
        <f>DCF!F13+F252+F253-((Projections!F20+F247)*F255+Projections!F121)-F254-F251</f>
        <v>13484.095688149739</v>
      </c>
      <c r="G256" s="1">
        <f>DCF!G13+G252+G253-((Projections!G20+G247)*G255+Projections!G121)-G254-G251</f>
        <v>14373.849005780165</v>
      </c>
      <c r="H256" s="1">
        <f>DCF!H13+H252+H253-((Projections!H20+H247)*H255+Projections!H121)-H254-H251</f>
        <v>14613.790813503343</v>
      </c>
      <c r="I256" s="1">
        <f>DCF!I13+I252+I253-((Projections!I20+I247)*I255+Projections!I121)-I254-I251</f>
        <v>14812.316821654524</v>
      </c>
      <c r="J256" s="1">
        <f>DCF!J13+J252+J253-((Projections!J20+J247)*J255+Projections!J121)-J254-J251</f>
        <v>14962.238701495584</v>
      </c>
      <c r="K256" s="1">
        <f>DCF!K13+K252+K253-((Projections!K20+K247)*K255+Projections!K121)-K254-K251</f>
        <v>15060.815393837162</v>
      </c>
      <c r="L256" s="1">
        <f>(DCF!$L$9+L252)*(1-DCF!$C$22/DCF!$C$24)</f>
        <v>15105.889256866441</v>
      </c>
    </row>
    <row r="257" spans="1:12" hidden="1" outlineLevel="1">
      <c r="A257" s="1" t="s">
        <v>30</v>
      </c>
      <c r="B257" s="1">
        <f>(SUMPRODUCT(C256:K256,DCF!$C$14:$K$14,DCF!$C$17:$K$17)+L256*DCF!$L$17*(1+(1+DCF!$C$22)/(DCF!$C$21-DCF!$C$22))+DCF!$C$44)/DCF!$C$46</f>
        <v>152.88825595375772</v>
      </c>
    </row>
    <row r="258" spans="1:12" hidden="1" outlineLevel="1"/>
    <row r="259" spans="1:12" hidden="1" outlineLevel="1">
      <c r="A259" s="1" t="s">
        <v>913</v>
      </c>
      <c r="B259" s="35">
        <f>$B$19-Assumptions!$C$28</f>
        <v>0</v>
      </c>
      <c r="C259" s="35">
        <f>$G$16-Assumptions!$C$38</f>
        <v>1.0000000000000009E-2</v>
      </c>
    </row>
    <row r="260" spans="1:12" hidden="1" outlineLevel="1">
      <c r="A260" s="1" t="s">
        <v>887</v>
      </c>
      <c r="C260" s="1">
        <f>Projections!B9*(1+Assumptions!C21+$B$259*C$32)</f>
        <v>14576.817142857148</v>
      </c>
      <c r="D260" s="1">
        <f>C260*(1+Assumptions!D21+$B$259*D$32)</f>
        <v>15742.96251428572</v>
      </c>
      <c r="E260" s="1">
        <f>D260*(1+Assumptions!E21+$B$259*E$32)</f>
        <v>16844.969890285724</v>
      </c>
      <c r="F260" s="1">
        <f>E260*(1+Assumptions!F21+$B$259*F$32)</f>
        <v>17855.668083702869</v>
      </c>
      <c r="G260" s="1">
        <f>F260*(1+Assumptions!G21+$B$259*G$32)</f>
        <v>18748.451487888015</v>
      </c>
      <c r="H260" s="1">
        <f>G260*(1+Assumptions!H21+$B$259*H$32)</f>
        <v>19610.880256330864</v>
      </c>
      <c r="I260" s="1">
        <f>H260*(1+Assumptions!I21+$B$259*I$32)</f>
        <v>20434.53722709676</v>
      </c>
      <c r="J260" s="1">
        <f>I260*(1+Assumptions!J21+$B$259*J$32)</f>
        <v>21211.049641726437</v>
      </c>
      <c r="K260" s="1">
        <f>J260*(1+Assumptions!K21+$B$259*K$32)</f>
        <v>21932.225329545137</v>
      </c>
      <c r="L260" s="1">
        <f>K260*(1+Assumptions!L21+$B$259*L$32)</f>
        <v>22590.192089431494</v>
      </c>
    </row>
    <row r="261" spans="1:12" hidden="1" outlineLevel="1">
      <c r="A261" s="1" t="s">
        <v>888</v>
      </c>
      <c r="C261" s="1">
        <f>Projections!B14*(1+Assumptions!C28+$B$259*C$32)</f>
        <v>19600.581538461542</v>
      </c>
      <c r="D261" s="1">
        <f>C261*(1+Assumptions!D28+$B$259*D$32)</f>
        <v>21952.651323076927</v>
      </c>
      <c r="E261" s="1">
        <f>D261*(1+Assumptions!E28+$B$259*E$32)</f>
        <v>23928.389942153852</v>
      </c>
      <c r="F261" s="1">
        <f>E261*(1+Assumptions!F28+$B$259*F$32)</f>
        <v>25603.377238104622</v>
      </c>
      <c r="G261" s="1">
        <f>F261*(1+Assumptions!G28+$B$259*G$32)</f>
        <v>27139.579872390899</v>
      </c>
      <c r="H261" s="1">
        <f>G261*(1+Assumptions!H28+$B$259*H$32)</f>
        <v>28605.11718550001</v>
      </c>
      <c r="I261" s="1">
        <f>H261*(1+Assumptions!I28+$B$259*I$32)</f>
        <v>29978.162810404014</v>
      </c>
      <c r="J261" s="1">
        <f>I261*(1+Assumptions!J28+$B$259*J$32)</f>
        <v>31237.245648440985</v>
      </c>
      <c r="K261" s="1">
        <f>J261*(1+Assumptions!K28+$B$259*K$32)</f>
        <v>32361.78649178486</v>
      </c>
      <c r="L261" s="1">
        <f>K261*(1+Assumptions!L28+$B$259*L$32)</f>
        <v>33332.640086538406</v>
      </c>
    </row>
    <row r="262" spans="1:12" hidden="1" outlineLevel="1">
      <c r="A262" s="1" t="s">
        <v>889</v>
      </c>
      <c r="C262" s="1">
        <f>(C260-Projections!C9)+(C261-Projections!C14)</f>
        <v>0</v>
      </c>
      <c r="D262" s="1">
        <f>(D260-Projections!D9)+(D261-Projections!D14)</f>
        <v>0</v>
      </c>
      <c r="E262" s="1">
        <f>(E260-Projections!E9)+(E261-Projections!E14)</f>
        <v>0</v>
      </c>
      <c r="F262" s="1">
        <f>(F260-Projections!F9)+(F261-Projections!F14)</f>
        <v>0</v>
      </c>
      <c r="G262" s="1">
        <f>(G260-Projections!G9)+(G261-Projections!G14)</f>
        <v>0</v>
      </c>
      <c r="H262" s="1">
        <f>(H260-Projections!H9)+(H261-Projections!H14)</f>
        <v>0</v>
      </c>
      <c r="I262" s="1">
        <f>(I260-Projections!I9)+(I261-Projections!I14)</f>
        <v>0</v>
      </c>
      <c r="J262" s="1">
        <f>(J260-Projections!J9)+(J261-Projections!J14)</f>
        <v>0</v>
      </c>
      <c r="K262" s="1">
        <f>(K260-Projections!K9)+(K261-Projections!K14)</f>
        <v>0</v>
      </c>
      <c r="L262" s="1">
        <f>(L260-Projections!L9)+(L261-Projections!L14)</f>
        <v>0</v>
      </c>
    </row>
    <row r="263" spans="1:12" hidden="1" outlineLevel="1">
      <c r="A263" s="1" t="s">
        <v>890</v>
      </c>
      <c r="C263" s="1">
        <f>C262*(1+Assumptions!C32)</f>
        <v>0</v>
      </c>
      <c r="D263" s="1">
        <f>D262*(1+Assumptions!D32)</f>
        <v>0</v>
      </c>
      <c r="E263" s="1">
        <f>E262*(1+Assumptions!E32)</f>
        <v>0</v>
      </c>
      <c r="F263" s="1">
        <f>F262*(1+Assumptions!F32)</f>
        <v>0</v>
      </c>
      <c r="G263" s="1">
        <f>G262*(1+Assumptions!G32)</f>
        <v>0</v>
      </c>
      <c r="H263" s="1">
        <f>H262*(1+Assumptions!H32)</f>
        <v>0</v>
      </c>
      <c r="I263" s="1">
        <f>I262*(1+Assumptions!I32)</f>
        <v>0</v>
      </c>
      <c r="J263" s="1">
        <f>J262*(1+Assumptions!J32)</f>
        <v>0</v>
      </c>
      <c r="K263" s="1">
        <f>K262*(1+Assumptions!K32)</f>
        <v>0</v>
      </c>
      <c r="L263" s="1">
        <f>L262*(1+Assumptions!L32)</f>
        <v>0</v>
      </c>
    </row>
    <row r="264" spans="1:12" hidden="1" outlineLevel="1">
      <c r="A264" s="1" t="s">
        <v>891</v>
      </c>
      <c r="C264" s="1">
        <f>(C260-Projections!C9)*Assumptions!C36+(C261-Projections!C14)*Assumptions!C37+C263*(Assumptions!C39+Assumptions!C40)+Projections!C17*$C$259</f>
        <v>314.08160000000032</v>
      </c>
      <c r="D264" s="1">
        <f>(D260-Projections!D9)*Assumptions!D36+(D261-Projections!D14)*Assumptions!D37+D263*(Assumptions!D39+Assumptions!D40)+Projections!D17*$C$259</f>
        <v>336.06731200000041</v>
      </c>
      <c r="E264" s="1">
        <f>(E260-Projections!E9)*Assumptions!E36+(E261-Projections!E14)*Assumptions!E37+E263*(Assumptions!E39+Assumptions!E40)+Projections!E17*$C$259</f>
        <v>356.23135072000042</v>
      </c>
      <c r="F264" s="1">
        <f>(F260-Projections!F9)*Assumptions!F36+(F261-Projections!F14)*Assumptions!F37+F263*(Assumptions!F39+Assumptions!F40)+Projections!F17*$C$259</f>
        <v>374.04291825600046</v>
      </c>
      <c r="G264" s="1">
        <f>(G260-Projections!G9)*Assumptions!G36+(G261-Projections!G14)*Assumptions!G37+G263*(Assumptions!G39+Assumptions!G40)+Projections!G17*$C$259</f>
        <v>389.00463498624049</v>
      </c>
      <c r="H264" s="1">
        <f>(H260-Projections!H9)*Assumptions!H36+(H261-Projections!H14)*Assumptions!H37+H263*(Assumptions!H39+Assumptions!H40)+Projections!H17*$C$259</f>
        <v>403.78681111571763</v>
      </c>
      <c r="I264" s="1">
        <f>(I260-Projections!I9)*Assumptions!I36+(I261-Projections!I14)*Assumptions!I37+I263*(Assumptions!I39+Assumptions!I40)+Projections!I17*$C$259</f>
        <v>418.32313631588346</v>
      </c>
      <c r="J264" s="1">
        <f>(J260-Projections!J9)*Assumptions!J36+(J261-Projections!J14)*Assumptions!J37+J263*(Assumptions!J39+Assumptions!J40)+Projections!J17*$C$259</f>
        <v>432.5461229506235</v>
      </c>
      <c r="K264" s="1">
        <f>(K260-Projections!K9)*Assumptions!K36+(K261-Projections!K14)*Assumptions!K37+K263*(Assumptions!K39+Assumptions!K40)+Projections!K17*$C$259</f>
        <v>446.38759888504342</v>
      </c>
      <c r="L264" s="1">
        <f>(L260-Projections!L9)*Assumptions!L36+(L261-Projections!L14)*Assumptions!L37+L263*(Assumptions!L39+Assumptions!L40)+Projections!L17*$C$259</f>
        <v>459.77922685159479</v>
      </c>
    </row>
    <row r="265" spans="1:12" hidden="1" outlineLevel="1">
      <c r="A265" s="1" t="s">
        <v>892</v>
      </c>
      <c r="C265" s="1">
        <f>C263*(1-Assumptions!C44-Assumptions!C45+Assumptions!C46)-C264</f>
        <v>-314.08160000000032</v>
      </c>
      <c r="D265" s="1">
        <f>D263*(1-Assumptions!D44-Assumptions!D45+Assumptions!D46)-D264</f>
        <v>-336.06731200000041</v>
      </c>
      <c r="E265" s="1">
        <f>E263*(1-Assumptions!E44-Assumptions!E45+Assumptions!E46)-E264</f>
        <v>-356.23135072000042</v>
      </c>
      <c r="F265" s="1">
        <f>F263*(1-Assumptions!F44-Assumptions!F45+Assumptions!F46)-F264</f>
        <v>-374.04291825600046</v>
      </c>
      <c r="G265" s="1">
        <f>G263*(1-Assumptions!G44-Assumptions!G45+Assumptions!G46)-G264</f>
        <v>-389.00463498624049</v>
      </c>
      <c r="H265" s="1">
        <f>H263*(1-Assumptions!H44-Assumptions!H45+Assumptions!H46)-H264</f>
        <v>-403.78681111571763</v>
      </c>
      <c r="I265" s="1">
        <f>I263*(1-Assumptions!I44-Assumptions!I45+Assumptions!I46)-I264</f>
        <v>-418.32313631588346</v>
      </c>
      <c r="J265" s="1">
        <f>J263*(1-Assumptions!J44-Assumptions!J45+Assumptions!J46)-J264</f>
        <v>-432.5461229506235</v>
      </c>
      <c r="K265" s="1">
        <f>K263*(1-Assumptions!K44-Assumptions!K45+Assumptions!K46)-K264</f>
        <v>-446.38759888504342</v>
      </c>
      <c r="L265" s="1">
        <f>L263*(1-Assumptions!L44-Assumptions!L45+Assumptions!L46)-L264</f>
        <v>-459.77922685159479</v>
      </c>
    </row>
    <row r="266" spans="1:12" hidden="1" outlineLevel="1">
      <c r="A266" s="1" t="s">
        <v>893</v>
      </c>
      <c r="C266" s="1">
        <f>C263*(Assumptions!C57/Assumptions!$C$9+Assumptions!C58+Assumptions!C62+Assumptions!C64+Assumptions!C65+Assumptions!C67-Assumptions!C63-Assumptions!C61-Assumptions!C66-Assumptions!C68)+C265*(Assumptions!C59-Assumptions!C60)/Assumptions!$C$9</f>
        <v>11.522278785495233</v>
      </c>
      <c r="D266" s="1">
        <f>D263*(Assumptions!D57/Assumptions!$C$9+Assumptions!D58+Assumptions!D62+Assumptions!D64+Assumptions!D65+Assumptions!D67-Assumptions!D63-Assumptions!D61-Assumptions!D66-Assumptions!D68)+D265*(Assumptions!D59-Assumptions!D60)/Assumptions!$C$9</f>
        <v>12.328838300479905</v>
      </c>
      <c r="E266" s="1">
        <f>E263*(Assumptions!E57/Assumptions!$C$9+Assumptions!E58+Assumptions!E62+Assumptions!E64+Assumptions!E65+Assumptions!E67-Assumptions!E63-Assumptions!E61-Assumptions!E66-Assumptions!E68)+E265*(Assumptions!E59-Assumptions!E60)/Assumptions!$C$9</f>
        <v>13.068568598508698</v>
      </c>
      <c r="F266" s="1">
        <f>F263*(Assumptions!F57/Assumptions!$C$9+Assumptions!F58+Assumptions!F62+Assumptions!F64+Assumptions!F65+Assumptions!F67-Assumptions!F63-Assumptions!F61-Assumptions!F66-Assumptions!F68)+F265*(Assumptions!F59-Assumptions!F60)/Assumptions!$C$9</f>
        <v>13.721997028434133</v>
      </c>
      <c r="G266" s="1">
        <f>G263*(Assumptions!G57/Assumptions!$C$9+Assumptions!G58+Assumptions!G62+Assumptions!G64+Assumptions!G65+Assumptions!G67-Assumptions!G63-Assumptions!G61-Assumptions!G66-Assumptions!G68)+G265*(Assumptions!G59-Assumptions!G60)/Assumptions!$C$9</f>
        <v>14.270876909571498</v>
      </c>
      <c r="H266" s="1">
        <f>H263*(Assumptions!H57/Assumptions!$C$9+Assumptions!H58+Assumptions!H62+Assumptions!H64+Assumptions!H65+Assumptions!H67-Assumptions!H63-Assumptions!H61-Assumptions!H66-Assumptions!H68)+H265*(Assumptions!H59-Assumptions!H60)/Assumptions!$C$9</f>
        <v>14.813170232135215</v>
      </c>
      <c r="I266" s="1">
        <f>I263*(Assumptions!I57/Assumptions!$C$9+Assumptions!I58+Assumptions!I62+Assumptions!I64+Assumptions!I65+Assumptions!I67-Assumptions!I63-Assumptions!I61-Assumptions!I66-Assumptions!I68)+I265*(Assumptions!I59-Assumptions!I60)/Assumptions!$C$9</f>
        <v>15.346444360492082</v>
      </c>
      <c r="J266" s="1">
        <f>J263*(Assumptions!J57/Assumptions!$C$9+Assumptions!J58+Assumptions!J62+Assumptions!J64+Assumptions!J65+Assumptions!J67-Assumptions!J63-Assumptions!J61-Assumptions!J66-Assumptions!J68)+J265*(Assumptions!J59-Assumptions!J60)/Assumptions!$C$9</f>
        <v>15.868223468748814</v>
      </c>
      <c r="K266" s="1">
        <f>K263*(Assumptions!K57/Assumptions!$C$9+Assumptions!K58+Assumptions!K62+Assumptions!K64+Assumptions!K65+Assumptions!K67-Assumptions!K63-Assumptions!K61-Assumptions!K66-Assumptions!K68)+K265*(Assumptions!K59-Assumptions!K60)/Assumptions!$C$9</f>
        <v>16.376006619748775</v>
      </c>
      <c r="L266" s="1">
        <f>L263*(Assumptions!L57/Assumptions!$C$9+Assumptions!L58+Assumptions!L62+Assumptions!L64+Assumptions!L65+Assumptions!L67-Assumptions!L63-Assumptions!L61-Assumptions!L66-Assumptions!L68)+L265*(Assumptions!L59-Assumptions!L60)/Assumptions!$C$9</f>
        <v>16.867286818341242</v>
      </c>
    </row>
    <row r="267" spans="1:12" hidden="1" outlineLevel="1">
      <c r="A267" s="1" t="s">
        <v>894</v>
      </c>
      <c r="C267" s="1">
        <f>C266</f>
        <v>11.522278785495233</v>
      </c>
      <c r="D267" s="1">
        <f>D266-C266</f>
        <v>0.80655951498467182</v>
      </c>
      <c r="E267" s="1">
        <f>E266-D266</f>
        <v>0.73973029802879253</v>
      </c>
      <c r="F267" s="1">
        <f>F266-E266</f>
        <v>0.65342842992543559</v>
      </c>
      <c r="G267" s="1">
        <f>G266-F266</f>
        <v>0.54887988113736519</v>
      </c>
      <c r="H267" s="1">
        <f>H266-G266</f>
        <v>0.54229332256371698</v>
      </c>
      <c r="I267" s="1">
        <f>I266-H266</f>
        <v>0.53327412835686694</v>
      </c>
      <c r="J267" s="1">
        <f>J266-I266</f>
        <v>0.52177910825673202</v>
      </c>
      <c r="K267" s="1">
        <f>K266-J266</f>
        <v>0.50778315099996085</v>
      </c>
      <c r="L267" s="1">
        <f>L266-K266</f>
        <v>0.49128019859246663</v>
      </c>
    </row>
    <row r="268" spans="1:12" hidden="1" outlineLevel="1">
      <c r="A268" s="1" t="s">
        <v>895</v>
      </c>
      <c r="C268" s="1">
        <f>C264*(1-Assumptions!C49)</f>
        <v>260.93384355950047</v>
      </c>
      <c r="D268" s="1">
        <f>D264*(1-Assumptions!D49)</f>
        <v>272.01119989759815</v>
      </c>
      <c r="E268" s="1">
        <f>E264*(1-Assumptions!E49)</f>
        <v>288.331871891454</v>
      </c>
      <c r="F268" s="1">
        <f>F264*(1-Assumptions!F49)</f>
        <v>302.74846548602676</v>
      </c>
      <c r="G268" s="1">
        <f>G264*(1-Assumptions!G49)</f>
        <v>314.8584041054678</v>
      </c>
      <c r="H268" s="1">
        <f>H264*(1-Assumptions!H49)</f>
        <v>326.8230234614756</v>
      </c>
      <c r="I268" s="1">
        <f>I264*(1-Assumptions!I49)</f>
        <v>338.5886523060887</v>
      </c>
      <c r="J268" s="1">
        <f>J264*(1-Assumptions!J49)</f>
        <v>350.10066648449572</v>
      </c>
      <c r="K268" s="1">
        <f>K264*(1-Assumptions!K49)</f>
        <v>361.30388781199957</v>
      </c>
      <c r="L268" s="1">
        <f>L264*(1-Assumptions!L49)</f>
        <v>372.14300444635961</v>
      </c>
    </row>
    <row r="269" spans="1:12" hidden="1" outlineLevel="1">
      <c r="A269" s="1" t="s">
        <v>896</v>
      </c>
      <c r="C269" s="1">
        <f>C263*Assumptions!C53</f>
        <v>0</v>
      </c>
      <c r="D269" s="1">
        <f>D263*Assumptions!D53</f>
        <v>0</v>
      </c>
      <c r="E269" s="1">
        <f>E263*Assumptions!E53</f>
        <v>0</v>
      </c>
      <c r="F269" s="1">
        <f>F263*Assumptions!F53</f>
        <v>0</v>
      </c>
      <c r="G269" s="1">
        <f>G263*Assumptions!G53</f>
        <v>0</v>
      </c>
      <c r="H269" s="1">
        <f>H263*Assumptions!H53</f>
        <v>0</v>
      </c>
      <c r="I269" s="1">
        <f>I263*Assumptions!I53</f>
        <v>0</v>
      </c>
      <c r="J269" s="1">
        <f>J263*Assumptions!J53</f>
        <v>0</v>
      </c>
      <c r="K269" s="1">
        <f>K263*Assumptions!K53</f>
        <v>0</v>
      </c>
      <c r="L269" s="1">
        <f>L263*Assumptions!L53</f>
        <v>0</v>
      </c>
    </row>
    <row r="270" spans="1:12" hidden="1" outlineLevel="1">
      <c r="A270" s="1" t="s">
        <v>897</v>
      </c>
      <c r="C270" s="1">
        <f>C263*Assumptions!C55</f>
        <v>0</v>
      </c>
      <c r="D270" s="1">
        <f>D263*Assumptions!D55</f>
        <v>0</v>
      </c>
      <c r="E270" s="1">
        <f>E263*Assumptions!E55</f>
        <v>0</v>
      </c>
      <c r="F270" s="1">
        <f>F263*Assumptions!F55</f>
        <v>0</v>
      </c>
      <c r="G270" s="1">
        <f>G263*Assumptions!G55</f>
        <v>0</v>
      </c>
      <c r="H270" s="1">
        <f>H263*Assumptions!H55</f>
        <v>0</v>
      </c>
      <c r="I270" s="1">
        <f>I263*Assumptions!I55</f>
        <v>0</v>
      </c>
      <c r="J270" s="1">
        <f>J263*Assumptions!J55</f>
        <v>0</v>
      </c>
      <c r="K270" s="1">
        <f>K263*Assumptions!K55</f>
        <v>0</v>
      </c>
      <c r="L270" s="1">
        <f>L263*Assumptions!L55</f>
        <v>0</v>
      </c>
    </row>
    <row r="271" spans="1:12" hidden="1" outlineLevel="1">
      <c r="A271" s="1" t="s">
        <v>898</v>
      </c>
      <c r="C271" s="1">
        <f>Assumptions!C54</f>
        <v>2.9000000000000001E-2</v>
      </c>
      <c r="D271" s="1">
        <f>Assumptions!D54</f>
        <v>0.03</v>
      </c>
      <c r="E271" s="1">
        <f>Assumptions!E54</f>
        <v>0.03</v>
      </c>
      <c r="F271" s="1">
        <f>Assumptions!F54</f>
        <v>2.9000000000000001E-2</v>
      </c>
      <c r="G271" s="1">
        <f>Assumptions!G54</f>
        <v>2.8000000000000001E-2</v>
      </c>
      <c r="H271" s="1">
        <f>Assumptions!$G$54+($L271-Assumptions!$G$54)*H$33</f>
        <v>3.0351148835511575E-2</v>
      </c>
      <c r="I271" s="1">
        <f>Assumptions!$G$54+($L271-Assumptions!$G$54)*I$33</f>
        <v>3.2702297671023152E-2</v>
      </c>
      <c r="J271" s="1">
        <f>Assumptions!$G$54+($L271-Assumptions!$G$54)*J$33</f>
        <v>3.5053446506534726E-2</v>
      </c>
      <c r="K271" s="1">
        <f>Assumptions!$G$54+($L271-Assumptions!$G$54)*K$33</f>
        <v>3.74045953420463E-2</v>
      </c>
      <c r="L271" s="1">
        <f>((DCF!$L$9+L268)*DCF!$C$22/DCF!$C$24+DCF!$L$10+L269-(DCF!$L$12+L267)-(-Projections!$L$122+L270))/(Projections!$L$20+L263)</f>
        <v>3.9755744177557874E-2</v>
      </c>
    </row>
    <row r="272" spans="1:12" hidden="1" outlineLevel="1">
      <c r="A272" s="1" t="s">
        <v>899</v>
      </c>
      <c r="C272" s="1">
        <f>DCF!C13+C268+C269-((Projections!C20+C263)*C271+Projections!C121)-C270-C267</f>
        <v>9670.4846250787941</v>
      </c>
      <c r="D272" s="1">
        <f>DCF!D13+D268+D269-((Projections!D20+D263)*D271+Projections!D121)-D270-D267</f>
        <v>11650.207309943038</v>
      </c>
      <c r="E272" s="1">
        <f>DCF!E13+E268+E269-((Projections!E20+E263)*E271+Projections!E121)-E270-E267</f>
        <v>12618.317529528533</v>
      </c>
      <c r="F272" s="1">
        <f>DCF!F13+F268+F269-((Projections!F20+F263)*F271+Projections!F121)-F270-F267</f>
        <v>13635.143206677791</v>
      </c>
      <c r="G272" s="1">
        <f>DCF!G13+G268+G269-((Projections!G20+G263)*G271+Projections!G121)-G270-G267</f>
        <v>14531.003767892331</v>
      </c>
      <c r="H272" s="1">
        <f>DCF!H13+H268+H269-((Projections!H20+H263)*H271+Projections!H121)-H270-H267</f>
        <v>14772.076706406857</v>
      </c>
      <c r="I272" s="1">
        <f>DCF!I13+I268+I269-((Projections!I20+I263)*I271+Projections!I121)-I270-I267</f>
        <v>14971.247147373584</v>
      </c>
      <c r="J272" s="1">
        <f>DCF!J13+J268+J269-((Projections!J20+J263)*J271+Projections!J121)-J270-J267</f>
        <v>15121.326453101734</v>
      </c>
      <c r="K272" s="1">
        <f>DCF!K13+K268+K269-((Projections!K20+K263)*K271+Projections!K121)-K270-K267</f>
        <v>15219.579696039167</v>
      </c>
      <c r="L272" s="1">
        <f>(DCF!$L$9+L268)*(1-DCF!$C$22/DCF!$C$24)</f>
        <v>15263.861665699889</v>
      </c>
    </row>
    <row r="273" spans="1:12" hidden="1" outlineLevel="1">
      <c r="A273" s="1" t="s">
        <v>30</v>
      </c>
      <c r="B273" s="1">
        <f>(SUMPRODUCT(C272:K272,DCF!$C$14:$K$14,DCF!$C$17:$K$17)+L272*DCF!$L$17*(1+(1+DCF!$C$22)/(DCF!$C$21-DCF!$C$22))+DCF!$C$44)/DCF!$C$46</f>
        <v>154.75356686349747</v>
      </c>
    </row>
    <row r="274" spans="1:12" hidden="1" outlineLevel="1"/>
    <row r="275" spans="1:12" hidden="1" outlineLevel="1">
      <c r="A275" s="1" t="s">
        <v>914</v>
      </c>
      <c r="B275" s="35">
        <f>$B$20-Assumptions!$C$28</f>
        <v>1.0000000000000009E-2</v>
      </c>
      <c r="C275" s="35">
        <f>$C$16-Assumptions!$C$38</f>
        <v>-1.0000000000000009E-2</v>
      </c>
    </row>
    <row r="276" spans="1:12" hidden="1" outlineLevel="1">
      <c r="A276" s="1" t="s">
        <v>887</v>
      </c>
      <c r="C276" s="1">
        <f>Projections!B9*(1+Assumptions!C21+$B$275*C$32)</f>
        <v>14714.334285714291</v>
      </c>
      <c r="D276" s="1">
        <f>C276*(1+Assumptions!D21+$B$275*D$32)</f>
        <v>16038.624371428577</v>
      </c>
      <c r="E276" s="1">
        <f>D276*(1+Assumptions!E21+$B$275*E$32)</f>
        <v>17321.714321142867</v>
      </c>
      <c r="F276" s="1">
        <f>E276*(1+Assumptions!F21+$B$275*F$32)</f>
        <v>18534.23432362287</v>
      </c>
      <c r="G276" s="1">
        <f>F276*(1+Assumptions!G21+$B$275*G$32)</f>
        <v>19646.288383040242</v>
      </c>
      <c r="H276" s="1">
        <f>G276*(1+Assumptions!H21+$B$275*H$32)</f>
        <v>20707.187955724417</v>
      </c>
      <c r="I276" s="1">
        <f>H276*(1+Assumptions!I21+$B$275*I$32)</f>
        <v>21701.132977599191</v>
      </c>
      <c r="J276" s="1">
        <f>I276*(1+Assumptions!J21+$B$275*J$32)</f>
        <v>22612.580562658357</v>
      </c>
      <c r="K276" s="1">
        <f>J276*(1+Assumptions!K21+$B$275*K$32)</f>
        <v>23426.633462914058</v>
      </c>
      <c r="L276" s="1">
        <f>K276*(1+Assumptions!L21+$B$275*L$32)</f>
        <v>24129.432466801481</v>
      </c>
    </row>
    <row r="277" spans="1:12" hidden="1" outlineLevel="1">
      <c r="A277" s="1" t="s">
        <v>888</v>
      </c>
      <c r="C277" s="1">
        <f>Projections!B14*(1+Assumptions!C28+$B$275*C$32)</f>
        <v>19765.292307692311</v>
      </c>
      <c r="D277" s="1">
        <f>C277*(1+Assumptions!D28+$B$275*D$32)</f>
        <v>22334.780307692312</v>
      </c>
      <c r="E277" s="1">
        <f>D277*(1+Assumptions!E28+$B$275*E$32)</f>
        <v>24568.258338461546</v>
      </c>
      <c r="F277" s="1">
        <f>E277*(1+Assumptions!F28+$B$275*F$32)</f>
        <v>26533.719005538471</v>
      </c>
      <c r="G277" s="1">
        <f>F277*(1+Assumptions!G28+$B$275*G$32)</f>
        <v>28391.079335926166</v>
      </c>
      <c r="H277" s="1">
        <f>G277*(1+Assumptions!H28+$B$275*H$32)</f>
        <v>30151.326254753589</v>
      </c>
      <c r="I277" s="1">
        <f>H277*(1+Assumptions!I28+$B$275*I$32)</f>
        <v>31779.497872510285</v>
      </c>
      <c r="J277" s="1">
        <f>I277*(1+Assumptions!J28+$B$275*J$32)</f>
        <v>33241.354774645763</v>
      </c>
      <c r="K277" s="1">
        <f>J277*(1+Assumptions!K28+$B$275*K$32)</f>
        <v>34504.526256082303</v>
      </c>
      <c r="L277" s="1">
        <f>K277*(1+Assumptions!L28+$B$275*L$32)</f>
        <v>35539.662043764773</v>
      </c>
    </row>
    <row r="278" spans="1:12" hidden="1" outlineLevel="1">
      <c r="A278" s="1" t="s">
        <v>889</v>
      </c>
      <c r="C278" s="1">
        <f>(C276-Projections!C9)+(C277-Projections!C14)</f>
        <v>302.22791208791205</v>
      </c>
      <c r="D278" s="1">
        <f>(D276-Projections!D9)+(D277-Projections!D14)</f>
        <v>677.7908417582421</v>
      </c>
      <c r="E278" s="1">
        <f>(E276-Projections!E9)+(E277-Projections!E14)</f>
        <v>1116.6128271648377</v>
      </c>
      <c r="F278" s="1">
        <f>(F276-Projections!F9)+(F277-Projections!F14)</f>
        <v>1608.9080073538498</v>
      </c>
      <c r="G278" s="1">
        <f>(G276-Projections!G9)+(G277-Projections!G14)</f>
        <v>2149.3363586874948</v>
      </c>
      <c r="H278" s="1">
        <f>(H276-Projections!H9)+(H277-Projections!H14)</f>
        <v>2642.5167686471323</v>
      </c>
      <c r="I278" s="1">
        <f>(I276-Projections!I9)+(I277-Projections!I14)</f>
        <v>3067.9308126087017</v>
      </c>
      <c r="J278" s="1">
        <f>(J276-Projections!J9)+(J277-Projections!J14)</f>
        <v>3405.6400471366978</v>
      </c>
      <c r="K278" s="1">
        <f>(K276-Projections!K9)+(K277-Projections!K14)</f>
        <v>3637.1478976663639</v>
      </c>
      <c r="L278" s="1">
        <f>(L276-Projections!L9)+(L277-Projections!L14)</f>
        <v>3746.2623345963548</v>
      </c>
    </row>
    <row r="279" spans="1:12" hidden="1" outlineLevel="1">
      <c r="A279" s="1" t="s">
        <v>890</v>
      </c>
      <c r="C279" s="1">
        <f>C278*(1+Assumptions!C32)</f>
        <v>293.93312048842097</v>
      </c>
      <c r="D279" s="1">
        <f>D278*(1+Assumptions!D32)</f>
        <v>659.18854344109366</v>
      </c>
      <c r="E279" s="1">
        <f>E278*(1+Assumptions!E32)</f>
        <v>1085.9668466706314</v>
      </c>
      <c r="F279" s="1">
        <f>F278*(1+Assumptions!F32)</f>
        <v>1564.7507469222896</v>
      </c>
      <c r="G279" s="1">
        <f>G278*(1+Assumptions!G32)</f>
        <v>2090.3467800964349</v>
      </c>
      <c r="H279" s="1">
        <f>H278*(1+Assumptions!H32)</f>
        <v>2569.9916145584102</v>
      </c>
      <c r="I279" s="1">
        <f>I278*(1+Assumptions!I32)</f>
        <v>2983.7299637974766</v>
      </c>
      <c r="J279" s="1">
        <f>J278*(1+Assumptions!J32)</f>
        <v>3312.1706046264944</v>
      </c>
      <c r="K279" s="1">
        <f>K278*(1+Assumptions!K32)</f>
        <v>3537.3246099387438</v>
      </c>
      <c r="L279" s="1">
        <f>L278*(1+Assumptions!L32)</f>
        <v>3643.4443482369061</v>
      </c>
    </row>
    <row r="280" spans="1:12" hidden="1" outlineLevel="1">
      <c r="A280" s="1" t="s">
        <v>891</v>
      </c>
      <c r="C280" s="1">
        <f>(C276-Projections!C9)*Assumptions!C36+(C277-Projections!C14)*Assumptions!C37+C279*(Assumptions!C39+Assumptions!C40)+Projections!C17*$C$275</f>
        <v>-276.59255242798571</v>
      </c>
      <c r="D280" s="1">
        <f>(D276-Projections!D9)*Assumptions!D36+(D277-Projections!D14)*Assumptions!D37+D279*(Assumptions!D39+Assumptions!D40)+Projections!D17*$C$275</f>
        <v>-249.44535191406314</v>
      </c>
      <c r="E280" s="1">
        <f>(E276-Projections!E9)*Assumptions!E36+(E277-Projections!E14)*Assumptions!E37+E279*(Assumptions!E39+Assumptions!E40)+Projections!E17*$C$275</f>
        <v>-208.87508363220394</v>
      </c>
      <c r="F280" s="1">
        <f>(F276-Projections!F9)*Assumptions!F36+(F277-Projections!F14)*Assumptions!F37+F279*(Assumptions!F39+Assumptions!F40)+Projections!F17*$C$275</f>
        <v>-154.42828204819884</v>
      </c>
      <c r="G280" s="1">
        <f>(G276-Projections!G9)*Assumptions!G36+(G277-Projections!G14)*Assumptions!G37+G279*(Assumptions!G39+Assumptions!G40)+Projections!G17*$C$275</f>
        <v>-90.143701406258856</v>
      </c>
      <c r="H280" s="1">
        <f>(H276-Projections!H9)*Assumptions!H36+(H277-Projections!H14)*Assumptions!H37+H279*(Assumptions!H39+Assumptions!H40)+Projections!H17*$C$275</f>
        <v>-36.991383381154264</v>
      </c>
      <c r="I280" s="1">
        <f>(I276-Projections!I9)*Assumptions!I36+(I277-Projections!I14)*Assumptions!I37+I279*(Assumptions!I39+Assumptions!I40)+Projections!I17*$C$275</f>
        <v>6.9946428550405813</v>
      </c>
      <c r="J280" s="1">
        <f>(J276-Projections!J9)*Assumptions!J36+(J277-Projections!J14)*Assumptions!J37+J279*(Assumptions!J39+Assumptions!J40)+Projections!J17*$C$275</f>
        <v>39.207954371003211</v>
      </c>
      <c r="K280" s="1">
        <f>(K276-Projections!K9)*Assumptions!K36+(K277-Projections!K14)*Assumptions!K37+K279*(Assumptions!K39+Assumptions!K40)+Projections!K17*$C$275</f>
        <v>57.231634791374972</v>
      </c>
      <c r="L280" s="1">
        <f>(L276-Projections!L9)*Assumptions!L36+(L277-Projections!L14)*Assumptions!L37+L279*(Assumptions!L39+Assumptions!L40)+Projections!L17*$C$275</f>
        <v>58.948583835116096</v>
      </c>
    </row>
    <row r="281" spans="1:12" hidden="1" outlineLevel="1">
      <c r="A281" s="1" t="s">
        <v>892</v>
      </c>
      <c r="C281" s="1">
        <f>C279*(1-Assumptions!C44-Assumptions!C45+Assumptions!C46)-C280</f>
        <v>542.30809334951823</v>
      </c>
      <c r="D281" s="1">
        <f>D279*(1-Assumptions!D44-Assumptions!D45+Assumptions!D46)-D280</f>
        <v>845.35179518481175</v>
      </c>
      <c r="E281" s="1">
        <f>E279*(1-Assumptions!E44-Assumptions!E45+Assumptions!E46)-E280</f>
        <v>1190.5891130224547</v>
      </c>
      <c r="F281" s="1">
        <f>F279*(1-Assumptions!F44-Assumptions!F45+Assumptions!F46)-F280</f>
        <v>1568.9629572659485</v>
      </c>
      <c r="G281" s="1">
        <f>G279*(1-Assumptions!G44-Assumptions!G45+Assumptions!G46)-G280</f>
        <v>1979.8171906134357</v>
      </c>
      <c r="H281" s="1">
        <f>H279*(1-Assumptions!H44-Assumptions!H45+Assumptions!H46)-H280</f>
        <v>2360.2638029419568</v>
      </c>
      <c r="I281" s="1">
        <f>I279*(1-Assumptions!I44-Assumptions!I45+Assumptions!I46)-I280</f>
        <v>2690.2972444178781</v>
      </c>
      <c r="J281" s="1">
        <f>J279*(1-Assumptions!J44-Assumptions!J45+Assumptions!J46)-J280</f>
        <v>2954.9942722113474</v>
      </c>
      <c r="K281" s="1">
        <f>K279*(1-Assumptions!K44-Assumptions!K45+Assumptions!K46)-K280</f>
        <v>3140.5098125932491</v>
      </c>
      <c r="L281" s="1">
        <f>L279*(1-Assumptions!L44-Assumptions!L45+Assumptions!L46)-L280</f>
        <v>3234.7251069710469</v>
      </c>
    </row>
    <row r="282" spans="1:12" hidden="1" outlineLevel="1">
      <c r="A282" s="1" t="s">
        <v>893</v>
      </c>
      <c r="C282" s="1">
        <f>C279*(Assumptions!C57/Assumptions!$C$9+Assumptions!C58+Assumptions!C62+Assumptions!C64+Assumptions!C65+Assumptions!C67-Assumptions!C63-Assumptions!C61-Assumptions!C66-Assumptions!C68)+C281*(Assumptions!C59-Assumptions!C60)/Assumptions!$C$9</f>
        <v>-14.893668549154967</v>
      </c>
      <c r="D282" s="1">
        <f>D279*(Assumptions!D57/Assumptions!$C$9+Assumptions!D58+Assumptions!D62+Assumptions!D64+Assumptions!D65+Assumptions!D67-Assumptions!D63-Assumptions!D61-Assumptions!D66-Assumptions!D68)+D281*(Assumptions!D59-Assumptions!D60)/Assumptions!$C$9</f>
        <v>-19.796232670050735</v>
      </c>
      <c r="E282" s="1">
        <f>E279*(Assumptions!E57/Assumptions!$C$9+Assumptions!E58+Assumptions!E62+Assumptions!E64+Assumptions!E65+Assumptions!E67-Assumptions!E63-Assumptions!E61-Assumptions!E66-Assumptions!E68)+E281*(Assumptions!E59-Assumptions!E60)/Assumptions!$C$9</f>
        <v>-25.199890508468737</v>
      </c>
      <c r="F282" s="1">
        <f>F279*(Assumptions!F57/Assumptions!$C$9+Assumptions!F58+Assumptions!F62+Assumptions!F64+Assumptions!F65+Assumptions!F67-Assumptions!F63-Assumptions!F61-Assumptions!F66-Assumptions!F68)+F281*(Assumptions!F59-Assumptions!F60)/Assumptions!$C$9</f>
        <v>-30.934312672081234</v>
      </c>
      <c r="G282" s="1">
        <f>G279*(Assumptions!G57/Assumptions!$C$9+Assumptions!G58+Assumptions!G62+Assumptions!G64+Assumptions!G65+Assumptions!G67-Assumptions!G63-Assumptions!G61-Assumptions!G66-Assumptions!G68)+G281*(Assumptions!G59-Assumptions!G60)/Assumptions!$C$9</f>
        <v>-37.063794600028857</v>
      </c>
      <c r="H282" s="1">
        <f>H279*(Assumptions!H57/Assumptions!$C$9+Assumptions!H58+Assumptions!H62+Assumptions!H64+Assumptions!H65+Assumptions!H67-Assumptions!H63-Assumptions!H61-Assumptions!H66-Assumptions!H68)+H281*(Assumptions!H59-Assumptions!H60)/Assumptions!$C$9</f>
        <v>-42.859608844837659</v>
      </c>
      <c r="I282" s="1">
        <f>I279*(Assumptions!I57/Assumptions!$C$9+Assumptions!I58+Assumptions!I62+Assumptions!I64+Assumptions!I65+Assumptions!I67-Assumptions!I63-Assumptions!I61-Assumptions!I66-Assumptions!I68)+I281*(Assumptions!I59-Assumptions!I60)/Assumptions!$C$9</f>
        <v>-47.927376467621251</v>
      </c>
      <c r="J282" s="1">
        <f>J279*(Assumptions!J57/Assumptions!$C$9+Assumptions!J58+Assumptions!J62+Assumptions!J64+Assumptions!J65+Assumptions!J67-Assumptions!J63-Assumptions!J61-Assumptions!J66-Assumptions!J68)+J281*(Assumptions!J59-Assumptions!J60)/Assumptions!$C$9</f>
        <v>-52.049568644027545</v>
      </c>
      <c r="K282" s="1">
        <f>K279*(Assumptions!K57/Assumptions!$C$9+Assumptions!K58+Assumptions!K62+Assumptions!K64+Assumptions!K65+Assumptions!K67-Assumptions!K63-Assumptions!K61-Assumptions!K66-Assumptions!K68)+K281*(Assumptions!K59-Assumptions!K60)/Assumptions!$C$9</f>
        <v>-55.024349933604853</v>
      </c>
      <c r="L282" s="1">
        <f>L279*(Assumptions!L57/Assumptions!$C$9+Assumptions!L58+Assumptions!L62+Assumptions!L64+Assumptions!L65+Assumptions!L67-Assumptions!L63-Assumptions!L61-Assumptions!L66-Assumptions!L68)+L281*(Assumptions!L59-Assumptions!L60)/Assumptions!$C$9</f>
        <v>-56.675080431613019</v>
      </c>
    </row>
    <row r="283" spans="1:12" hidden="1" outlineLevel="1">
      <c r="A283" s="1" t="s">
        <v>894</v>
      </c>
      <c r="C283" s="1">
        <f>C282</f>
        <v>-14.893668549154967</v>
      </c>
      <c r="D283" s="1">
        <f>D282-C282</f>
        <v>-4.902564120895768</v>
      </c>
      <c r="E283" s="1">
        <f>E282-D282</f>
        <v>-5.4036578384180025</v>
      </c>
      <c r="F283" s="1">
        <f>F282-E282</f>
        <v>-5.7344221636124963</v>
      </c>
      <c r="G283" s="1">
        <f>G282-F282</f>
        <v>-6.1294819279476229</v>
      </c>
      <c r="H283" s="1">
        <f>H282-G282</f>
        <v>-5.7958142448088026</v>
      </c>
      <c r="I283" s="1">
        <f>I282-H282</f>
        <v>-5.0677676227835917</v>
      </c>
      <c r="J283" s="1">
        <f>J282-I282</f>
        <v>-4.1221921764062941</v>
      </c>
      <c r="K283" s="1">
        <f>K282-J282</f>
        <v>-2.974781289577308</v>
      </c>
      <c r="L283" s="1">
        <f>L282-K282</f>
        <v>-1.6507304980081656</v>
      </c>
    </row>
    <row r="284" spans="1:12" hidden="1" outlineLevel="1">
      <c r="A284" s="1" t="s">
        <v>895</v>
      </c>
      <c r="C284" s="1">
        <f>C280*(1-Assumptions!C49)</f>
        <v>-229.78855751170039</v>
      </c>
      <c r="D284" s="1">
        <f>D280*(1-Assumptions!D49)</f>
        <v>-201.89981905476978</v>
      </c>
      <c r="E284" s="1">
        <f>E280*(1-Assumptions!E49)</f>
        <v>-169.06244701212381</v>
      </c>
      <c r="F284" s="1">
        <f>F280*(1-Assumptions!F49)</f>
        <v>-124.99347838404239</v>
      </c>
      <c r="G284" s="1">
        <f>G280*(1-Assumptions!G49)</f>
        <v>-72.961860636797809</v>
      </c>
      <c r="H284" s="1">
        <f>H280*(1-Assumptions!H49)</f>
        <v>-29.940640520788971</v>
      </c>
      <c r="I284" s="1">
        <f>I280*(1-Assumptions!I49)</f>
        <v>5.6614289099760695</v>
      </c>
      <c r="J284" s="1">
        <f>J280*(1-Assumptions!J49)</f>
        <v>31.734721983275922</v>
      </c>
      <c r="K284" s="1">
        <f>K280*(1-Assumptions!K49)</f>
        <v>46.322998684570102</v>
      </c>
      <c r="L284" s="1">
        <f>L280*(1-Assumptions!L49)</f>
        <v>47.712688645107107</v>
      </c>
    </row>
    <row r="285" spans="1:12" hidden="1" outlineLevel="1">
      <c r="A285" s="1" t="s">
        <v>896</v>
      </c>
      <c r="C285" s="1">
        <f>C279*Assumptions!C53</f>
        <v>7.6134725858145442</v>
      </c>
      <c r="D285" s="1">
        <f>D279*Assumptions!D53</f>
        <v>17.07433955054919</v>
      </c>
      <c r="E285" s="1">
        <f>E279*Assumptions!E53</f>
        <v>28.128775697313849</v>
      </c>
      <c r="F285" s="1">
        <f>F279*Assumptions!F53</f>
        <v>40.530263808072576</v>
      </c>
      <c r="G285" s="1">
        <f>G279*Assumptions!G53</f>
        <v>54.144282477131902</v>
      </c>
      <c r="H285" s="1">
        <f>H279*Assumptions!H53</f>
        <v>66.56807055530345</v>
      </c>
      <c r="I285" s="1">
        <f>I279*Assumptions!I53</f>
        <v>77.284745064108535</v>
      </c>
      <c r="J285" s="1">
        <f>J279*Assumptions!J53</f>
        <v>85.792033425705725</v>
      </c>
      <c r="K285" s="1">
        <f>K279*Assumptions!K53</f>
        <v>91.623985415949988</v>
      </c>
      <c r="L285" s="1">
        <f>L279*Assumptions!L53</f>
        <v>94.372704978428487</v>
      </c>
    </row>
    <row r="286" spans="1:12" hidden="1" outlineLevel="1">
      <c r="A286" s="1" t="s">
        <v>897</v>
      </c>
      <c r="C286" s="1">
        <f>C279*Assumptions!C55</f>
        <v>1.3887194117616648</v>
      </c>
      <c r="D286" s="1">
        <f>D279*Assumptions!D55</f>
        <v>3.1144088994339989</v>
      </c>
      <c r="E286" s="1">
        <f>E279*Assumptions!E55</f>
        <v>5.1307700132436036</v>
      </c>
      <c r="F286" s="1">
        <f>F279*Assumptions!F55</f>
        <v>7.3928372998889369</v>
      </c>
      <c r="G286" s="1">
        <f>G279*Assumptions!G55</f>
        <v>9.8760736660425668</v>
      </c>
      <c r="H286" s="1">
        <f>H279*Assumptions!H55</f>
        <v>12.142208531217772</v>
      </c>
      <c r="I286" s="1">
        <f>I279*Assumptions!I55</f>
        <v>14.096960945725455</v>
      </c>
      <c r="J286" s="1">
        <f>J279*Assumptions!J55</f>
        <v>15.648714939194408</v>
      </c>
      <c r="K286" s="1">
        <f>K279*Assumptions!K55</f>
        <v>16.712479843583015</v>
      </c>
      <c r="L286" s="1">
        <f>L279*Assumptions!L55</f>
        <v>17.213854238890505</v>
      </c>
    </row>
    <row r="287" spans="1:12" hidden="1" outlineLevel="1">
      <c r="A287" s="1" t="s">
        <v>898</v>
      </c>
      <c r="C287" s="1">
        <f>Assumptions!C54</f>
        <v>2.9000000000000001E-2</v>
      </c>
      <c r="D287" s="1">
        <f>Assumptions!D54</f>
        <v>0.03</v>
      </c>
      <c r="E287" s="1">
        <f>Assumptions!E54</f>
        <v>0.03</v>
      </c>
      <c r="F287" s="1">
        <f>Assumptions!F54</f>
        <v>2.9000000000000001E-2</v>
      </c>
      <c r="G287" s="1">
        <f>Assumptions!G54</f>
        <v>2.8000000000000001E-2</v>
      </c>
      <c r="H287" s="1">
        <f>Assumptions!$G$54+($L287-Assumptions!$G$54)*H$33</f>
        <v>3.0200094351876483E-2</v>
      </c>
      <c r="I287" s="1">
        <f>Assumptions!$G$54+($L287-Assumptions!$G$54)*I$33</f>
        <v>3.2400188703752962E-2</v>
      </c>
      <c r="J287" s="1">
        <f>Assumptions!$G$54+($L287-Assumptions!$G$54)*J$33</f>
        <v>3.4600283055629441E-2</v>
      </c>
      <c r="K287" s="1">
        <f>Assumptions!$G$54+($L287-Assumptions!$G$54)*K$33</f>
        <v>3.6800377407505927E-2</v>
      </c>
      <c r="L287" s="1">
        <f>((DCF!$L$9+L284)*DCF!$C$22/DCF!$C$24+DCF!$L$10+L285-(DCF!$L$12+L283)-(-Projections!$L$122+L286))/(Projections!$L$20+L279)</f>
        <v>3.9000471759382406E-2</v>
      </c>
    </row>
    <row r="288" spans="1:12" hidden="1" outlineLevel="1">
      <c r="A288" s="1" t="s">
        <v>899</v>
      </c>
      <c r="C288" s="1">
        <f>DCF!C13+C284+C285-((Projections!C20+C279)*C287+Projections!C121)-C286-C283</f>
        <v>9203.8788640221319</v>
      </c>
      <c r="D288" s="1">
        <f>DCF!D13+D284+D285-((Projections!D20+D279)*D287+Projections!D121)-D286-D283</f>
        <v>11176.189688974433</v>
      </c>
      <c r="E288" s="1">
        <f>DCF!E13+E284+E285-((Projections!E20+E279)*E287+Projections!E121)-E286-E283</f>
        <v>12157.485599045353</v>
      </c>
      <c r="F288" s="1">
        <f>DCF!F13+F284+F285-((Projections!F20+F279)*F287+Projections!F121)-F286-F283</f>
        <v>13201.548768248696</v>
      </c>
      <c r="G288" s="1">
        <f>DCF!G13+G284+G285-((Projections!G20+G279)*G287+Projections!G121)-G286-G283</f>
        <v>14135.600363927539</v>
      </c>
      <c r="H288" s="1">
        <f>DCF!H13+H284+H285-((Projections!H20+H279)*H287+Projections!H121)-H286-H283</f>
        <v>14417.946156467817</v>
      </c>
      <c r="I288" s="1">
        <f>DCF!I13+I284+I285-((Projections!I20+I279)*I287+Projections!I121)-I286-I283</f>
        <v>14650.960499946428</v>
      </c>
      <c r="J288" s="1">
        <f>DCF!J13+J284+J285-((Projections!J20+J279)*J287+Projections!J121)-J286-J283</f>
        <v>14826.163559985342</v>
      </c>
      <c r="K288" s="1">
        <f>DCF!K13+K284+K285-((Projections!K20+K279)*K287+Projections!K121)-K286-K283</f>
        <v>14939.643758505248</v>
      </c>
      <c r="L288" s="1">
        <f>(DCF!$L$9+L284)*(1-DCF!$C$22/DCF!$C$24)</f>
        <v>14988.424331807413</v>
      </c>
    </row>
    <row r="289" spans="1:12" hidden="1" outlineLevel="1">
      <c r="A289" s="1" t="s">
        <v>30</v>
      </c>
      <c r="B289" s="1">
        <f>(SUMPRODUCT(C288:K288,DCF!$C$14:$K$14,DCF!$C$17:$K$17)+L288*DCF!$L$17*(1+(1+DCF!$C$22)/(DCF!$C$21-DCF!$C$22))+DCF!$C$44)/DCF!$C$46</f>
        <v>150.94016642053248</v>
      </c>
    </row>
    <row r="290" spans="1:12" hidden="1" outlineLevel="1"/>
    <row r="291" spans="1:12" hidden="1" outlineLevel="1">
      <c r="A291" s="1" t="s">
        <v>915</v>
      </c>
      <c r="B291" s="35">
        <f>$B$20-Assumptions!$C$28</f>
        <v>1.0000000000000009E-2</v>
      </c>
      <c r="C291" s="35">
        <f>$D$16-Assumptions!$C$38</f>
        <v>-5.0000000000000044E-3</v>
      </c>
    </row>
    <row r="292" spans="1:12" hidden="1" outlineLevel="1">
      <c r="A292" s="1" t="s">
        <v>887</v>
      </c>
      <c r="C292" s="1">
        <f>Projections!B9*(1+Assumptions!C21+$B$291*C$32)</f>
        <v>14714.334285714291</v>
      </c>
      <c r="D292" s="1">
        <f>C292*(1+Assumptions!D21+$B$291*D$32)</f>
        <v>16038.624371428577</v>
      </c>
      <c r="E292" s="1">
        <f>D292*(1+Assumptions!E21+$B$291*E$32)</f>
        <v>17321.714321142867</v>
      </c>
      <c r="F292" s="1">
        <f>E292*(1+Assumptions!F21+$B$291*F$32)</f>
        <v>18534.23432362287</v>
      </c>
      <c r="G292" s="1">
        <f>F292*(1+Assumptions!G21+$B$291*G$32)</f>
        <v>19646.288383040242</v>
      </c>
      <c r="H292" s="1">
        <f>G292*(1+Assumptions!H21+$B$291*H$32)</f>
        <v>20707.187955724417</v>
      </c>
      <c r="I292" s="1">
        <f>H292*(1+Assumptions!I21+$B$291*I$32)</f>
        <v>21701.132977599191</v>
      </c>
      <c r="J292" s="1">
        <f>I292*(1+Assumptions!J21+$B$291*J$32)</f>
        <v>22612.580562658357</v>
      </c>
      <c r="K292" s="1">
        <f>J292*(1+Assumptions!K21+$B$291*K$32)</f>
        <v>23426.633462914058</v>
      </c>
      <c r="L292" s="1">
        <f>K292*(1+Assumptions!L21+$B$291*L$32)</f>
        <v>24129.432466801481</v>
      </c>
    </row>
    <row r="293" spans="1:12" hidden="1" outlineLevel="1">
      <c r="A293" s="1" t="s">
        <v>888</v>
      </c>
      <c r="C293" s="1">
        <f>Projections!B14*(1+Assumptions!C28+$B$291*C$32)</f>
        <v>19765.292307692311</v>
      </c>
      <c r="D293" s="1">
        <f>C293*(1+Assumptions!D28+$B$291*D$32)</f>
        <v>22334.780307692312</v>
      </c>
      <c r="E293" s="1">
        <f>D293*(1+Assumptions!E28+$B$291*E$32)</f>
        <v>24568.258338461546</v>
      </c>
      <c r="F293" s="1">
        <f>E293*(1+Assumptions!F28+$B$291*F$32)</f>
        <v>26533.719005538471</v>
      </c>
      <c r="G293" s="1">
        <f>F293*(1+Assumptions!G28+$B$291*G$32)</f>
        <v>28391.079335926166</v>
      </c>
      <c r="H293" s="1">
        <f>G293*(1+Assumptions!H28+$B$291*H$32)</f>
        <v>30151.326254753589</v>
      </c>
      <c r="I293" s="1">
        <f>H293*(1+Assumptions!I28+$B$291*I$32)</f>
        <v>31779.497872510285</v>
      </c>
      <c r="J293" s="1">
        <f>I293*(1+Assumptions!J28+$B$291*J$32)</f>
        <v>33241.354774645763</v>
      </c>
      <c r="K293" s="1">
        <f>J293*(1+Assumptions!K28+$B$291*K$32)</f>
        <v>34504.526256082303</v>
      </c>
      <c r="L293" s="1">
        <f>K293*(1+Assumptions!L28+$B$291*L$32)</f>
        <v>35539.662043764773</v>
      </c>
    </row>
    <row r="294" spans="1:12" hidden="1" outlineLevel="1">
      <c r="A294" s="1" t="s">
        <v>889</v>
      </c>
      <c r="C294" s="1">
        <f>(C292-Projections!C9)+(C293-Projections!C14)</f>
        <v>302.22791208791205</v>
      </c>
      <c r="D294" s="1">
        <f>(D292-Projections!D9)+(D293-Projections!D14)</f>
        <v>677.7908417582421</v>
      </c>
      <c r="E294" s="1">
        <f>(E292-Projections!E9)+(E293-Projections!E14)</f>
        <v>1116.6128271648377</v>
      </c>
      <c r="F294" s="1">
        <f>(F292-Projections!F9)+(F293-Projections!F14)</f>
        <v>1608.9080073538498</v>
      </c>
      <c r="G294" s="1">
        <f>(G292-Projections!G9)+(G293-Projections!G14)</f>
        <v>2149.3363586874948</v>
      </c>
      <c r="H294" s="1">
        <f>(H292-Projections!H9)+(H293-Projections!H14)</f>
        <v>2642.5167686471323</v>
      </c>
      <c r="I294" s="1">
        <f>(I292-Projections!I9)+(I293-Projections!I14)</f>
        <v>3067.9308126087017</v>
      </c>
      <c r="J294" s="1">
        <f>(J292-Projections!J9)+(J293-Projections!J14)</f>
        <v>3405.6400471366978</v>
      </c>
      <c r="K294" s="1">
        <f>(K292-Projections!K9)+(K293-Projections!K14)</f>
        <v>3637.1478976663639</v>
      </c>
      <c r="L294" s="1">
        <f>(L292-Projections!L9)+(L293-Projections!L14)</f>
        <v>3746.2623345963548</v>
      </c>
    </row>
    <row r="295" spans="1:12" hidden="1" outlineLevel="1">
      <c r="A295" s="1" t="s">
        <v>890</v>
      </c>
      <c r="C295" s="1">
        <f>C294*(1+Assumptions!C32)</f>
        <v>293.93312048842097</v>
      </c>
      <c r="D295" s="1">
        <f>D294*(1+Assumptions!D32)</f>
        <v>659.18854344109366</v>
      </c>
      <c r="E295" s="1">
        <f>E294*(1+Assumptions!E32)</f>
        <v>1085.9668466706314</v>
      </c>
      <c r="F295" s="1">
        <f>F294*(1+Assumptions!F32)</f>
        <v>1564.7507469222896</v>
      </c>
      <c r="G295" s="1">
        <f>G294*(1+Assumptions!G32)</f>
        <v>2090.3467800964349</v>
      </c>
      <c r="H295" s="1">
        <f>H294*(1+Assumptions!H32)</f>
        <v>2569.9916145584102</v>
      </c>
      <c r="I295" s="1">
        <f>I294*(1+Assumptions!I32)</f>
        <v>2983.7299637974766</v>
      </c>
      <c r="J295" s="1">
        <f>J294*(1+Assumptions!J32)</f>
        <v>3312.1706046264944</v>
      </c>
      <c r="K295" s="1">
        <f>K294*(1+Assumptions!K32)</f>
        <v>3537.3246099387438</v>
      </c>
      <c r="L295" s="1">
        <f>L294*(1+Assumptions!L32)</f>
        <v>3643.4443482369061</v>
      </c>
    </row>
    <row r="296" spans="1:12" hidden="1" outlineLevel="1">
      <c r="A296" s="1" t="s">
        <v>891</v>
      </c>
      <c r="C296" s="1">
        <f>(C292-Projections!C9)*Assumptions!C36+(C293-Projections!C14)*Assumptions!C37+C295*(Assumptions!C39+Assumptions!C40)+Projections!C17*$C$291</f>
        <v>-119.55175242798553</v>
      </c>
      <c r="D296" s="1">
        <f>(D292-Projections!D9)*Assumptions!D36+(D293-Projections!D14)*Assumptions!D37+D295*(Assumptions!D39+Assumptions!D40)+Projections!D17*$C$291</f>
        <v>-81.411695914062932</v>
      </c>
      <c r="E296" s="1">
        <f>(E292-Projections!E9)*Assumptions!E36+(E293-Projections!E14)*Assumptions!E37+E295*(Assumptions!E39+Assumptions!E40)+Projections!E17*$C$291</f>
        <v>-30.759408272203729</v>
      </c>
      <c r="F296" s="1">
        <f>(F292-Projections!F9)*Assumptions!F36+(F293-Projections!F14)*Assumptions!F37+F295*(Assumptions!F39+Assumptions!F40)+Projections!F17*$C$291</f>
        <v>32.593177079801393</v>
      </c>
      <c r="G296" s="1">
        <f>(G292-Projections!G9)*Assumptions!G36+(G293-Projections!G14)*Assumptions!G37+G295*(Assumptions!G39+Assumptions!G40)+Projections!G17*$C$291</f>
        <v>104.35861608686139</v>
      </c>
      <c r="H296" s="1">
        <f>(H292-Projections!H9)*Assumptions!H36+(H293-Projections!H14)*Assumptions!H37+H295*(Assumptions!H39+Assumptions!H40)+Projections!H17*$C$291</f>
        <v>164.90202217670455</v>
      </c>
      <c r="I296" s="1">
        <f>(I292-Projections!I9)*Assumptions!I36+(I293-Projections!I14)*Assumptions!I37+I295*(Assumptions!I39+Assumptions!I40)+Projections!I17*$C$291</f>
        <v>216.15621101298231</v>
      </c>
      <c r="J296" s="1">
        <f>(J292-Projections!J9)*Assumptions!J36+(J293-Projections!J14)*Assumptions!J37+J295*(Assumptions!J39+Assumptions!J40)+Projections!J17*$C$291</f>
        <v>255.48101584631496</v>
      </c>
      <c r="K296" s="1">
        <f>(K292-Projections!K9)*Assumptions!K36+(K293-Projections!K14)*Assumptions!K37+K295*(Assumptions!K39+Assumptions!K40)+Projections!K17*$C$291</f>
        <v>280.42543423389668</v>
      </c>
      <c r="L296" s="1">
        <f>(L292-Projections!L9)*Assumptions!L36+(L293-Projections!L14)*Assumptions!L37+L295*(Assumptions!L39+Assumptions!L40)+Projections!L17*$C$291</f>
        <v>288.83819726091349</v>
      </c>
    </row>
    <row r="297" spans="1:12" hidden="1" outlineLevel="1">
      <c r="A297" s="1" t="s">
        <v>892</v>
      </c>
      <c r="C297" s="1">
        <f>C295*(1-Assumptions!C44-Assumptions!C45+Assumptions!C46)-C296</f>
        <v>385.26729334951807</v>
      </c>
      <c r="D297" s="1">
        <f>D295*(1-Assumptions!D44-Assumptions!D45+Assumptions!D46)-D296</f>
        <v>677.31813918481157</v>
      </c>
      <c r="E297" s="1">
        <f>E295*(1-Assumptions!E44-Assumptions!E45+Assumptions!E46)-E296</f>
        <v>1012.4734376624544</v>
      </c>
      <c r="F297" s="1">
        <f>F295*(1-Assumptions!F44-Assumptions!F45+Assumptions!F46)-F296</f>
        <v>1381.9414981379484</v>
      </c>
      <c r="G297" s="1">
        <f>G295*(1-Assumptions!G44-Assumptions!G45+Assumptions!G46)-G296</f>
        <v>1785.3148731203155</v>
      </c>
      <c r="H297" s="1">
        <f>H295*(1-Assumptions!H44-Assumptions!H45+Assumptions!H46)-H296</f>
        <v>2158.3703973840979</v>
      </c>
      <c r="I297" s="1">
        <f>I295*(1-Assumptions!I44-Assumptions!I45+Assumptions!I46)-I296</f>
        <v>2481.1356762599366</v>
      </c>
      <c r="J297" s="1">
        <f>J295*(1-Assumptions!J44-Assumptions!J45+Assumptions!J46)-J296</f>
        <v>2738.7212107360356</v>
      </c>
      <c r="K297" s="1">
        <f>K295*(1-Assumptions!K44-Assumptions!K45+Assumptions!K46)-K296</f>
        <v>2917.3160131507275</v>
      </c>
      <c r="L297" s="1">
        <f>L295*(1-Assumptions!L44-Assumptions!L45+Assumptions!L46)-L296</f>
        <v>3004.8354935452494</v>
      </c>
    </row>
    <row r="298" spans="1:12" hidden="1" outlineLevel="1">
      <c r="A298" s="1" t="s">
        <v>893</v>
      </c>
      <c r="C298" s="1">
        <f>C295*(Assumptions!C57/Assumptions!$C$9+Assumptions!C58+Assumptions!C62+Assumptions!C64+Assumptions!C65+Assumptions!C67-Assumptions!C63-Assumptions!C61-Assumptions!C66-Assumptions!C68)+C297*(Assumptions!C59-Assumptions!C60)/Assumptions!$C$9</f>
        <v>-9.132529156407351</v>
      </c>
      <c r="D298" s="1">
        <f>D295*(Assumptions!D57/Assumptions!$C$9+Assumptions!D58+Assumptions!D62+Assumptions!D64+Assumptions!D65+Assumptions!D67-Assumptions!D63-Assumptions!D61-Assumptions!D66-Assumptions!D68)+D297*(Assumptions!D59-Assumptions!D60)/Assumptions!$C$9</f>
        <v>-13.631813519810787</v>
      </c>
      <c r="E298" s="1">
        <f>E295*(Assumptions!E57/Assumptions!$C$9+Assumptions!E58+Assumptions!E62+Assumptions!E64+Assumptions!E65+Assumptions!E67-Assumptions!E63-Assumptions!E61-Assumptions!E66-Assumptions!E68)+E297*(Assumptions!E59-Assumptions!E60)/Assumptions!$C$9</f>
        <v>-18.665606209214385</v>
      </c>
      <c r="F298" s="1">
        <f>F295*(Assumptions!F57/Assumptions!$C$9+Assumptions!F58+Assumptions!F62+Assumptions!F64+Assumptions!F65+Assumptions!F67-Assumptions!F63-Assumptions!F61-Assumptions!F66-Assumptions!F68)+F297*(Assumptions!F59-Assumptions!F60)/Assumptions!$C$9</f>
        <v>-24.073314157864175</v>
      </c>
      <c r="G298" s="1">
        <f>G295*(Assumptions!G57/Assumptions!$C$9+Assumptions!G58+Assumptions!G62+Assumptions!G64+Assumptions!G65+Assumptions!G67-Assumptions!G63-Assumptions!G61-Assumptions!G66-Assumptions!G68)+G297*(Assumptions!G59-Assumptions!G60)/Assumptions!$C$9</f>
        <v>-29.9283561452431</v>
      </c>
      <c r="H298" s="1">
        <f>H295*(Assumptions!H57/Assumptions!$C$9+Assumptions!H58+Assumptions!H62+Assumptions!H64+Assumptions!H65+Assumptions!H67-Assumptions!H63-Assumptions!H61-Assumptions!H66-Assumptions!H68)+H297*(Assumptions!H59-Assumptions!H60)/Assumptions!$C$9</f>
        <v>-35.453023728770056</v>
      </c>
      <c r="I298" s="1">
        <f>I295*(Assumptions!I57/Assumptions!$C$9+Assumptions!I58+Assumptions!I62+Assumptions!I64+Assumptions!I65+Assumptions!I67-Assumptions!I63-Assumptions!I61-Assumptions!I66-Assumptions!I68)+I297*(Assumptions!I59-Assumptions!I60)/Assumptions!$C$9</f>
        <v>-40.254154287375208</v>
      </c>
      <c r="J298" s="1">
        <f>J295*(Assumptions!J57/Assumptions!$C$9+Assumptions!J58+Assumptions!J62+Assumptions!J64+Assumptions!J65+Assumptions!J67-Assumptions!J63-Assumptions!J61-Assumptions!J66-Assumptions!J68)+J297*(Assumptions!J59-Assumptions!J60)/Assumptions!$C$9</f>
        <v>-44.115456909653133</v>
      </c>
      <c r="K298" s="1">
        <f>K295*(Assumptions!K57/Assumptions!$C$9+Assumptions!K58+Assumptions!K62+Assumptions!K64+Assumptions!K65+Assumptions!K67-Assumptions!K63-Assumptions!K61-Assumptions!K66-Assumptions!K68)+K297*(Assumptions!K59-Assumptions!K60)/Assumptions!$C$9</f>
        <v>-46.836346623730492</v>
      </c>
      <c r="L298" s="1">
        <f>L295*(Assumptions!L57/Assumptions!$C$9+Assumptions!L58+Assumptions!L62+Assumptions!L64+Assumptions!L65+Assumptions!L67-Assumptions!L63-Assumptions!L61-Assumptions!L66-Assumptions!L68)+L297*(Assumptions!L59-Assumptions!L60)/Assumptions!$C$9</f>
        <v>-48.241437022442405</v>
      </c>
    </row>
    <row r="299" spans="1:12" hidden="1" outlineLevel="1">
      <c r="A299" s="1" t="s">
        <v>894</v>
      </c>
      <c r="C299" s="1">
        <f>C298</f>
        <v>-9.132529156407351</v>
      </c>
      <c r="D299" s="1">
        <f>D298-C298</f>
        <v>-4.4992843634034365</v>
      </c>
      <c r="E299" s="1">
        <f>E298-D298</f>
        <v>-5.0337926894035974</v>
      </c>
      <c r="F299" s="1">
        <f>F298-E298</f>
        <v>-5.4077079486497901</v>
      </c>
      <c r="G299" s="1">
        <f>G298-F298</f>
        <v>-5.8550419873789252</v>
      </c>
      <c r="H299" s="1">
        <f>H298-G298</f>
        <v>-5.5246675835269556</v>
      </c>
      <c r="I299" s="1">
        <f>I298-H298</f>
        <v>-4.801130558605152</v>
      </c>
      <c r="J299" s="1">
        <f>J298-I298</f>
        <v>-3.8613026222779254</v>
      </c>
      <c r="K299" s="1">
        <f>K298-J298</f>
        <v>-2.7208897140773587</v>
      </c>
      <c r="L299" s="1">
        <f>L298-K298</f>
        <v>-1.4050903987119128</v>
      </c>
    </row>
    <row r="300" spans="1:12" hidden="1" outlineLevel="1">
      <c r="A300" s="1" t="s">
        <v>895</v>
      </c>
      <c r="C300" s="1">
        <f>C296*(1-Assumptions!C49)</f>
        <v>-99.321635731950153</v>
      </c>
      <c r="D300" s="1">
        <f>D296*(1-Assumptions!D49)</f>
        <v>-65.894219105970706</v>
      </c>
      <c r="E300" s="1">
        <f>E296*(1-Assumptions!E49)</f>
        <v>-24.896511066396819</v>
      </c>
      <c r="F300" s="1">
        <f>F296*(1-Assumptions!F49)</f>
        <v>26.380754358970979</v>
      </c>
      <c r="G300" s="1">
        <f>G296*(1-Assumptions!G49)</f>
        <v>84.467341415936104</v>
      </c>
      <c r="H300" s="1">
        <f>H296*(1-Assumptions!H49)</f>
        <v>133.47087120994883</v>
      </c>
      <c r="I300" s="1">
        <f>I296*(1-Assumptions!I49)</f>
        <v>174.95575506302043</v>
      </c>
      <c r="J300" s="1">
        <f>J296*(1-Assumptions!J49)</f>
        <v>206.78505522552379</v>
      </c>
      <c r="K300" s="1">
        <f>K296*(1-Assumptions!K49)</f>
        <v>226.9749425905699</v>
      </c>
      <c r="L300" s="1">
        <f>L296*(1-Assumptions!L49)</f>
        <v>233.78419086828691</v>
      </c>
    </row>
    <row r="301" spans="1:12" hidden="1" outlineLevel="1">
      <c r="A301" s="1" t="s">
        <v>896</v>
      </c>
      <c r="C301" s="1">
        <f>C295*Assumptions!C53</f>
        <v>7.6134725858145442</v>
      </c>
      <c r="D301" s="1">
        <f>D295*Assumptions!D53</f>
        <v>17.07433955054919</v>
      </c>
      <c r="E301" s="1">
        <f>E295*Assumptions!E53</f>
        <v>28.128775697313849</v>
      </c>
      <c r="F301" s="1">
        <f>F295*Assumptions!F53</f>
        <v>40.530263808072576</v>
      </c>
      <c r="G301" s="1">
        <f>G295*Assumptions!G53</f>
        <v>54.144282477131902</v>
      </c>
      <c r="H301" s="1">
        <f>H295*Assumptions!H53</f>
        <v>66.56807055530345</v>
      </c>
      <c r="I301" s="1">
        <f>I295*Assumptions!I53</f>
        <v>77.284745064108535</v>
      </c>
      <c r="J301" s="1">
        <f>J295*Assumptions!J53</f>
        <v>85.792033425705725</v>
      </c>
      <c r="K301" s="1">
        <f>K295*Assumptions!K53</f>
        <v>91.623985415949988</v>
      </c>
      <c r="L301" s="1">
        <f>L295*Assumptions!L53</f>
        <v>94.372704978428487</v>
      </c>
    </row>
    <row r="302" spans="1:12" hidden="1" outlineLevel="1">
      <c r="A302" s="1" t="s">
        <v>897</v>
      </c>
      <c r="C302" s="1">
        <f>C295*Assumptions!C55</f>
        <v>1.3887194117616648</v>
      </c>
      <c r="D302" s="1">
        <f>D295*Assumptions!D55</f>
        <v>3.1144088994339989</v>
      </c>
      <c r="E302" s="1">
        <f>E295*Assumptions!E55</f>
        <v>5.1307700132436036</v>
      </c>
      <c r="F302" s="1">
        <f>F295*Assumptions!F55</f>
        <v>7.3928372998889369</v>
      </c>
      <c r="G302" s="1">
        <f>G295*Assumptions!G55</f>
        <v>9.8760736660425668</v>
      </c>
      <c r="H302" s="1">
        <f>H295*Assumptions!H55</f>
        <v>12.142208531217772</v>
      </c>
      <c r="I302" s="1">
        <f>I295*Assumptions!I55</f>
        <v>14.096960945725455</v>
      </c>
      <c r="J302" s="1">
        <f>J295*Assumptions!J55</f>
        <v>15.648714939194408</v>
      </c>
      <c r="K302" s="1">
        <f>K295*Assumptions!K55</f>
        <v>16.712479843583015</v>
      </c>
      <c r="L302" s="1">
        <f>L295*Assumptions!L55</f>
        <v>17.213854238890505</v>
      </c>
    </row>
    <row r="303" spans="1:12" hidden="1" outlineLevel="1">
      <c r="A303" s="1" t="s">
        <v>898</v>
      </c>
      <c r="C303" s="1">
        <f>Assumptions!C54</f>
        <v>2.9000000000000001E-2</v>
      </c>
      <c r="D303" s="1">
        <f>Assumptions!D54</f>
        <v>0.03</v>
      </c>
      <c r="E303" s="1">
        <f>Assumptions!E54</f>
        <v>0.03</v>
      </c>
      <c r="F303" s="1">
        <f>Assumptions!F54</f>
        <v>2.9000000000000001E-2</v>
      </c>
      <c r="G303" s="1">
        <f>Assumptions!G54</f>
        <v>2.8000000000000001E-2</v>
      </c>
      <c r="H303" s="1">
        <f>Assumptions!$G$54+($L303-Assumptions!$G$54)*H$33</f>
        <v>3.0236827287126469E-2</v>
      </c>
      <c r="I303" s="1">
        <f>Assumptions!$G$54+($L303-Assumptions!$G$54)*I$33</f>
        <v>3.2473654574252935E-2</v>
      </c>
      <c r="J303" s="1">
        <f>Assumptions!$G$54+($L303-Assumptions!$G$54)*J$33</f>
        <v>3.47104818613794E-2</v>
      </c>
      <c r="K303" s="1">
        <f>Assumptions!$G$54+($L303-Assumptions!$G$54)*K$33</f>
        <v>3.6947309148505872E-2</v>
      </c>
      <c r="L303" s="1">
        <f>((DCF!$L$9+L300)*DCF!$C$22/DCF!$C$24+DCF!$L$10+L301-(DCF!$L$12+L299)-(-Projections!$L$122+L302))/(Projections!$L$20+L295)</f>
        <v>3.9184136435632337E-2</v>
      </c>
    </row>
    <row r="304" spans="1:12" hidden="1" outlineLevel="1">
      <c r="A304" s="1" t="s">
        <v>899</v>
      </c>
      <c r="C304" s="1">
        <f>DCF!C13+C300+C301-((Projections!C20+C295)*C303+Projections!C121)-C302-C299</f>
        <v>9328.5846464091337</v>
      </c>
      <c r="D304" s="1">
        <f>DCF!D13+D300+D301-((Projections!D20+D295)*D303+Projections!D121)-D302-D299</f>
        <v>11311.79200916574</v>
      </c>
      <c r="E304" s="1">
        <f>DCF!E13+E300+E301-((Projections!E20+E295)*E303+Projections!E121)-E302-E299</f>
        <v>12301.281669842065</v>
      </c>
      <c r="F304" s="1">
        <f>DCF!F13+F300+F301-((Projections!F20+F295)*F303+Projections!F121)-F302-F299</f>
        <v>13352.596286776747</v>
      </c>
      <c r="G304" s="1">
        <f>DCF!G13+G300+G301-((Projections!G20+G295)*G303+Projections!G121)-G302-G299</f>
        <v>14292.755126039705</v>
      </c>
      <c r="H304" s="1">
        <f>DCF!H13+H300+H301-((Projections!H20+H295)*H303+Projections!H121)-H302-H299</f>
        <v>14576.254273476665</v>
      </c>
      <c r="I304" s="1">
        <f>DCF!I13+I300+I301-((Projections!I20+I295)*I303+Projections!I121)-I302-I299</f>
        <v>14809.914209895309</v>
      </c>
      <c r="J304" s="1">
        <f>DCF!J13+J300+J301-((Projections!J20+J295)*J303+Projections!J121)-J302-J299</f>
        <v>14985.263543446268</v>
      </c>
      <c r="K304" s="1">
        <f>DCF!K13+K300+K301-((Projections!K20+K295)*K303+Projections!K121)-K302-K299</f>
        <v>15098.408060707257</v>
      </c>
      <c r="L304" s="1">
        <f>(DCF!$L$9+L300)*(1-DCF!$C$22/DCF!$C$24)</f>
        <v>15146.396740640861</v>
      </c>
    </row>
    <row r="305" spans="1:12" hidden="1" outlineLevel="1">
      <c r="A305" s="1" t="s">
        <v>30</v>
      </c>
      <c r="B305" s="1">
        <f>(SUMPRODUCT(C304:K304,DCF!$C$14:$K$14,DCF!$C$17:$K$17)+L304*DCF!$L$17*(1+(1+DCF!$C$22)/(DCF!$C$21-DCF!$C$22))+DCF!$C$44)/DCF!$C$46</f>
        <v>152.80550392140049</v>
      </c>
    </row>
    <row r="306" spans="1:12" hidden="1" outlineLevel="1"/>
    <row r="307" spans="1:12" hidden="1" outlineLevel="1">
      <c r="A307" s="1" t="s">
        <v>916</v>
      </c>
      <c r="B307" s="35">
        <f>$B$20-Assumptions!$C$28</f>
        <v>1.0000000000000009E-2</v>
      </c>
      <c r="C307" s="35">
        <f>$E$16-Assumptions!$C$38</f>
        <v>0</v>
      </c>
    </row>
    <row r="308" spans="1:12" hidden="1" outlineLevel="1">
      <c r="A308" s="1" t="s">
        <v>887</v>
      </c>
      <c r="C308" s="1">
        <f>Projections!B9*(1+Assumptions!C21+$B$307*C$32)</f>
        <v>14714.334285714291</v>
      </c>
      <c r="D308" s="1">
        <f>C308*(1+Assumptions!D21+$B$307*D$32)</f>
        <v>16038.624371428577</v>
      </c>
      <c r="E308" s="1">
        <f>D308*(1+Assumptions!E21+$B$307*E$32)</f>
        <v>17321.714321142867</v>
      </c>
      <c r="F308" s="1">
        <f>E308*(1+Assumptions!F21+$B$307*F$32)</f>
        <v>18534.23432362287</v>
      </c>
      <c r="G308" s="1">
        <f>F308*(1+Assumptions!G21+$B$307*G$32)</f>
        <v>19646.288383040242</v>
      </c>
      <c r="H308" s="1">
        <f>G308*(1+Assumptions!H21+$B$307*H$32)</f>
        <v>20707.187955724417</v>
      </c>
      <c r="I308" s="1">
        <f>H308*(1+Assumptions!I21+$B$307*I$32)</f>
        <v>21701.132977599191</v>
      </c>
      <c r="J308" s="1">
        <f>I308*(1+Assumptions!J21+$B$307*J$32)</f>
        <v>22612.580562658357</v>
      </c>
      <c r="K308" s="1">
        <f>J308*(1+Assumptions!K21+$B$307*K$32)</f>
        <v>23426.633462914058</v>
      </c>
      <c r="L308" s="1">
        <f>K308*(1+Assumptions!L21+$B$307*L$32)</f>
        <v>24129.432466801481</v>
      </c>
    </row>
    <row r="309" spans="1:12" hidden="1" outlineLevel="1">
      <c r="A309" s="1" t="s">
        <v>888</v>
      </c>
      <c r="C309" s="1">
        <f>Projections!B14*(1+Assumptions!C28+$B$307*C$32)</f>
        <v>19765.292307692311</v>
      </c>
      <c r="D309" s="1">
        <f>C309*(1+Assumptions!D28+$B$307*D$32)</f>
        <v>22334.780307692312</v>
      </c>
      <c r="E309" s="1">
        <f>D309*(1+Assumptions!E28+$B$307*E$32)</f>
        <v>24568.258338461546</v>
      </c>
      <c r="F309" s="1">
        <f>E309*(1+Assumptions!F28+$B$307*F$32)</f>
        <v>26533.719005538471</v>
      </c>
      <c r="G309" s="1">
        <f>F309*(1+Assumptions!G28+$B$307*G$32)</f>
        <v>28391.079335926166</v>
      </c>
      <c r="H309" s="1">
        <f>G309*(1+Assumptions!H28+$B$307*H$32)</f>
        <v>30151.326254753589</v>
      </c>
      <c r="I309" s="1">
        <f>H309*(1+Assumptions!I28+$B$307*I$32)</f>
        <v>31779.497872510285</v>
      </c>
      <c r="J309" s="1">
        <f>I309*(1+Assumptions!J28+$B$307*J$32)</f>
        <v>33241.354774645763</v>
      </c>
      <c r="K309" s="1">
        <f>J309*(1+Assumptions!K28+$B$307*K$32)</f>
        <v>34504.526256082303</v>
      </c>
      <c r="L309" s="1">
        <f>K309*(1+Assumptions!L28+$B$307*L$32)</f>
        <v>35539.662043764773</v>
      </c>
    </row>
    <row r="310" spans="1:12" hidden="1" outlineLevel="1">
      <c r="A310" s="1" t="s">
        <v>889</v>
      </c>
      <c r="C310" s="1">
        <f>(C308-Projections!C9)+(C309-Projections!C14)</f>
        <v>302.22791208791205</v>
      </c>
      <c r="D310" s="1">
        <f>(D308-Projections!D9)+(D309-Projections!D14)</f>
        <v>677.7908417582421</v>
      </c>
      <c r="E310" s="1">
        <f>(E308-Projections!E9)+(E309-Projections!E14)</f>
        <v>1116.6128271648377</v>
      </c>
      <c r="F310" s="1">
        <f>(F308-Projections!F9)+(F309-Projections!F14)</f>
        <v>1608.9080073538498</v>
      </c>
      <c r="G310" s="1">
        <f>(G308-Projections!G9)+(G309-Projections!G14)</f>
        <v>2149.3363586874948</v>
      </c>
      <c r="H310" s="1">
        <f>(H308-Projections!H9)+(H309-Projections!H14)</f>
        <v>2642.5167686471323</v>
      </c>
      <c r="I310" s="1">
        <f>(I308-Projections!I9)+(I309-Projections!I14)</f>
        <v>3067.9308126087017</v>
      </c>
      <c r="J310" s="1">
        <f>(J308-Projections!J9)+(J309-Projections!J14)</f>
        <v>3405.6400471366978</v>
      </c>
      <c r="K310" s="1">
        <f>(K308-Projections!K9)+(K309-Projections!K14)</f>
        <v>3637.1478976663639</v>
      </c>
      <c r="L310" s="1">
        <f>(L308-Projections!L9)+(L309-Projections!L14)</f>
        <v>3746.2623345963548</v>
      </c>
    </row>
    <row r="311" spans="1:12" hidden="1" outlineLevel="1">
      <c r="A311" s="1" t="s">
        <v>890</v>
      </c>
      <c r="C311" s="1">
        <f>C310*(1+Assumptions!C32)</f>
        <v>293.93312048842097</v>
      </c>
      <c r="D311" s="1">
        <f>D310*(1+Assumptions!D32)</f>
        <v>659.18854344109366</v>
      </c>
      <c r="E311" s="1">
        <f>E310*(1+Assumptions!E32)</f>
        <v>1085.9668466706314</v>
      </c>
      <c r="F311" s="1">
        <f>F310*(1+Assumptions!F32)</f>
        <v>1564.7507469222896</v>
      </c>
      <c r="G311" s="1">
        <f>G310*(1+Assumptions!G32)</f>
        <v>2090.3467800964349</v>
      </c>
      <c r="H311" s="1">
        <f>H310*(1+Assumptions!H32)</f>
        <v>2569.9916145584102</v>
      </c>
      <c r="I311" s="1">
        <f>I310*(1+Assumptions!I32)</f>
        <v>2983.7299637974766</v>
      </c>
      <c r="J311" s="1">
        <f>J310*(1+Assumptions!J32)</f>
        <v>3312.1706046264944</v>
      </c>
      <c r="K311" s="1">
        <f>K310*(1+Assumptions!K32)</f>
        <v>3537.3246099387438</v>
      </c>
      <c r="L311" s="1">
        <f>L310*(1+Assumptions!L32)</f>
        <v>3643.4443482369061</v>
      </c>
    </row>
    <row r="312" spans="1:12" hidden="1" outlineLevel="1">
      <c r="A312" s="1" t="s">
        <v>891</v>
      </c>
      <c r="C312" s="1">
        <f>(C308-Projections!C9)*Assumptions!C36+(C309-Projections!C14)*Assumptions!C37+C311*(Assumptions!C39+Assumptions!C40)+Projections!C17*$C$307</f>
        <v>37.489047572014627</v>
      </c>
      <c r="D312" s="1">
        <f>(D308-Projections!D9)*Assumptions!D36+(D309-Projections!D14)*Assumptions!D37+D311*(Assumptions!D39+Assumptions!D40)+Projections!D17*$C$307</f>
        <v>86.621960085937275</v>
      </c>
      <c r="E312" s="1">
        <f>(E308-Projections!E9)*Assumptions!E36+(E309-Projections!E14)*Assumptions!E37+E311*(Assumptions!E39+Assumptions!E40)+Projections!E17*$C$307</f>
        <v>147.35626708779648</v>
      </c>
      <c r="F312" s="1">
        <f>(F308-Projections!F9)*Assumptions!F36+(F309-Projections!F14)*Assumptions!F37+F311*(Assumptions!F39+Assumptions!F40)+Projections!F17*$C$307</f>
        <v>219.61463620780162</v>
      </c>
      <c r="G312" s="1">
        <f>(G308-Projections!G9)*Assumptions!G36+(G309-Projections!G14)*Assumptions!G37+G311*(Assumptions!G39+Assumptions!G40)+Projections!G17*$C$307</f>
        <v>298.86093357998163</v>
      </c>
      <c r="H312" s="1">
        <f>(H308-Projections!H9)*Assumptions!H36+(H309-Projections!H14)*Assumptions!H37+H311*(Assumptions!H39+Assumptions!H40)+Projections!H17*$C$307</f>
        <v>366.79542773456336</v>
      </c>
      <c r="I312" s="1">
        <f>(I308-Projections!I9)*Assumptions!I36+(I309-Projections!I14)*Assumptions!I37+I311*(Assumptions!I39+Assumptions!I40)+Projections!I17*$C$307</f>
        <v>425.31777917092404</v>
      </c>
      <c r="J312" s="1">
        <f>(J308-Projections!J9)*Assumptions!J36+(J309-Projections!J14)*Assumptions!J37+J311*(Assumptions!J39+Assumptions!J40)+Projections!J17*$C$307</f>
        <v>471.75407732162671</v>
      </c>
      <c r="K312" s="1">
        <f>(K308-Projections!K9)*Assumptions!K36+(K309-Projections!K14)*Assumptions!K37+K311*(Assumptions!K39+Assumptions!K40)+Projections!K17*$C$307</f>
        <v>503.61923367641839</v>
      </c>
      <c r="L312" s="1">
        <f>(L308-Projections!L9)*Assumptions!L36+(L309-Projections!L14)*Assumptions!L37+L311*(Assumptions!L39+Assumptions!L40)+Projections!L17*$C$307</f>
        <v>518.72781068671088</v>
      </c>
    </row>
    <row r="313" spans="1:12" hidden="1" outlineLevel="1">
      <c r="A313" s="1" t="s">
        <v>892</v>
      </c>
      <c r="C313" s="1">
        <f>C311*(1-Assumptions!C44-Assumptions!C45+Assumptions!C46)-C312</f>
        <v>228.22649334951791</v>
      </c>
      <c r="D313" s="1">
        <f>D311*(1-Assumptions!D44-Assumptions!D45+Assumptions!D46)-D312</f>
        <v>509.28448318481128</v>
      </c>
      <c r="E313" s="1">
        <f>E311*(1-Assumptions!E44-Assumptions!E45+Assumptions!E46)-E312</f>
        <v>834.35776230245426</v>
      </c>
      <c r="F313" s="1">
        <f>F311*(1-Assumptions!F44-Assumptions!F45+Assumptions!F46)-F312</f>
        <v>1194.9200390099481</v>
      </c>
      <c r="G313" s="1">
        <f>G311*(1-Assumptions!G44-Assumptions!G45+Assumptions!G46)-G312</f>
        <v>1590.8125556271953</v>
      </c>
      <c r="H313" s="1">
        <f>H311*(1-Assumptions!H44-Assumptions!H45+Assumptions!H46)-H312</f>
        <v>1956.4769918262391</v>
      </c>
      <c r="I313" s="1">
        <f>I311*(1-Assumptions!I44-Assumptions!I45+Assumptions!I46)-I312</f>
        <v>2271.9741081019947</v>
      </c>
      <c r="J313" s="1">
        <f>J311*(1-Assumptions!J44-Assumptions!J45+Assumptions!J46)-J312</f>
        <v>2522.4481492607238</v>
      </c>
      <c r="K313" s="1">
        <f>K311*(1-Assumptions!K44-Assumptions!K45+Assumptions!K46)-K312</f>
        <v>2694.1222137082059</v>
      </c>
      <c r="L313" s="1">
        <f>L311*(1-Assumptions!L44-Assumptions!L45+Assumptions!L46)-L312</f>
        <v>2774.9458801194523</v>
      </c>
    </row>
    <row r="314" spans="1:12" hidden="1" outlineLevel="1">
      <c r="A314" s="1" t="s">
        <v>893</v>
      </c>
      <c r="C314" s="1">
        <f>C311*(Assumptions!C57/Assumptions!$C$9+Assumptions!C58+Assumptions!C62+Assumptions!C64+Assumptions!C65+Assumptions!C67-Assumptions!C63-Assumptions!C61-Assumptions!C66-Assumptions!C68)+C313*(Assumptions!C59-Assumptions!C60)/Assumptions!$C$9</f>
        <v>-3.3713897636597334</v>
      </c>
      <c r="D314" s="1">
        <f>D311*(Assumptions!D57/Assumptions!$C$9+Assumptions!D58+Assumptions!D62+Assumptions!D64+Assumptions!D65+Assumptions!D67-Assumptions!D63-Assumptions!D61-Assumptions!D66-Assumptions!D68)+D313*(Assumptions!D59-Assumptions!D60)/Assumptions!$C$9</f>
        <v>-7.4673943695708331</v>
      </c>
      <c r="E314" s="1">
        <f>E311*(Assumptions!E57/Assumptions!$C$9+Assumptions!E58+Assumptions!E62+Assumptions!E64+Assumptions!E65+Assumptions!E67-Assumptions!E63-Assumptions!E61-Assumptions!E66-Assumptions!E68)+E313*(Assumptions!E59-Assumptions!E60)/Assumptions!$C$9</f>
        <v>-12.131321909960036</v>
      </c>
      <c r="F314" s="1">
        <f>F311*(Assumptions!F57/Assumptions!$C$9+Assumptions!F58+Assumptions!F62+Assumptions!F64+Assumptions!F65+Assumptions!F67-Assumptions!F63-Assumptions!F61-Assumptions!F66-Assumptions!F68)+F313*(Assumptions!F59-Assumptions!F60)/Assumptions!$C$9</f>
        <v>-17.212315643647109</v>
      </c>
      <c r="G314" s="1">
        <f>G311*(Assumptions!G57/Assumptions!$C$9+Assumptions!G58+Assumptions!G62+Assumptions!G64+Assumptions!G65+Assumptions!G67-Assumptions!G63-Assumptions!G61-Assumptions!G66-Assumptions!G68)+G313*(Assumptions!G59-Assumptions!G60)/Assumptions!$C$9</f>
        <v>-22.792917690457358</v>
      </c>
      <c r="H314" s="1">
        <f>H311*(Assumptions!H57/Assumptions!$C$9+Assumptions!H58+Assumptions!H62+Assumptions!H64+Assumptions!H65+Assumptions!H67-Assumptions!H63-Assumptions!H61-Assumptions!H66-Assumptions!H68)+H313*(Assumptions!H59-Assumptions!H60)/Assumptions!$C$9</f>
        <v>-28.046438612702453</v>
      </c>
      <c r="I314" s="1">
        <f>I311*(Assumptions!I57/Assumptions!$C$9+Assumptions!I58+Assumptions!I62+Assumptions!I64+Assumptions!I65+Assumptions!I67-Assumptions!I63-Assumptions!I61-Assumptions!I66-Assumptions!I68)+I313*(Assumptions!I59-Assumptions!I60)/Assumptions!$C$9</f>
        <v>-32.580932107129165</v>
      </c>
      <c r="J314" s="1">
        <f>J311*(Assumptions!J57/Assumptions!$C$9+Assumptions!J58+Assumptions!J62+Assumptions!J64+Assumptions!J65+Assumptions!J67-Assumptions!J63-Assumptions!J61-Assumptions!J66-Assumptions!J68)+J313*(Assumptions!J59-Assumptions!J60)/Assumptions!$C$9</f>
        <v>-36.181345175278736</v>
      </c>
      <c r="K314" s="1">
        <f>K311*(Assumptions!K57/Assumptions!$C$9+Assumptions!K58+Assumptions!K62+Assumptions!K64+Assumptions!K65+Assumptions!K67-Assumptions!K63-Assumptions!K61-Assumptions!K66-Assumptions!K68)+K313*(Assumptions!K59-Assumptions!K60)/Assumptions!$C$9</f>
        <v>-38.648343313856103</v>
      </c>
      <c r="L314" s="1">
        <f>L311*(Assumptions!L57/Assumptions!$C$9+Assumptions!L58+Assumptions!L62+Assumptions!L64+Assumptions!L65+Assumptions!L67-Assumptions!L63-Assumptions!L61-Assumptions!L66-Assumptions!L68)+L313*(Assumptions!L59-Assumptions!L60)/Assumptions!$C$9</f>
        <v>-39.807793613271791</v>
      </c>
    </row>
    <row r="315" spans="1:12" hidden="1" outlineLevel="1">
      <c r="A315" s="1" t="s">
        <v>894</v>
      </c>
      <c r="C315" s="1">
        <f>C314</f>
        <v>-3.3713897636597334</v>
      </c>
      <c r="D315" s="1">
        <f>D314-C314</f>
        <v>-4.0960046059110997</v>
      </c>
      <c r="E315" s="1">
        <f>E314-D314</f>
        <v>-4.6639275403892029</v>
      </c>
      <c r="F315" s="1">
        <f>F314-E314</f>
        <v>-5.0809937336870732</v>
      </c>
      <c r="G315" s="1">
        <f>G314-F314</f>
        <v>-5.5806020468102489</v>
      </c>
      <c r="H315" s="1">
        <f>H314-G314</f>
        <v>-5.2535209222450945</v>
      </c>
      <c r="I315" s="1">
        <f>I314-H314</f>
        <v>-4.5344934944267123</v>
      </c>
      <c r="J315" s="1">
        <f>J314-I314</f>
        <v>-3.600413068149571</v>
      </c>
      <c r="K315" s="1">
        <f>K314-J314</f>
        <v>-2.4669981385773667</v>
      </c>
      <c r="L315" s="1">
        <f>L314-K314</f>
        <v>-1.1594502994156883</v>
      </c>
    </row>
    <row r="316" spans="1:12" hidden="1" outlineLevel="1">
      <c r="A316" s="1" t="s">
        <v>895</v>
      </c>
      <c r="C316" s="1">
        <f>C312*(1-Assumptions!C49)</f>
        <v>31.145286047800077</v>
      </c>
      <c r="D316" s="1">
        <f>D312*(1-Assumptions!D49)</f>
        <v>70.111380842828368</v>
      </c>
      <c r="E316" s="1">
        <f>E312*(1-Assumptions!E49)</f>
        <v>119.26942487933019</v>
      </c>
      <c r="F316" s="1">
        <f>F312*(1-Assumptions!F49)</f>
        <v>177.75498710198434</v>
      </c>
      <c r="G316" s="1">
        <f>G312*(1-Assumptions!G49)</f>
        <v>241.89654346867002</v>
      </c>
      <c r="H316" s="1">
        <f>H312*(1-Assumptions!H49)</f>
        <v>296.88238294068663</v>
      </c>
      <c r="I316" s="1">
        <f>I312*(1-Assumptions!I49)</f>
        <v>344.25008121606476</v>
      </c>
      <c r="J316" s="1">
        <f>J312*(1-Assumptions!J49)</f>
        <v>381.83538846777162</v>
      </c>
      <c r="K316" s="1">
        <f>K312*(1-Assumptions!K49)</f>
        <v>407.62688649656968</v>
      </c>
      <c r="L316" s="1">
        <f>L312*(1-Assumptions!L49)</f>
        <v>419.85569309146672</v>
      </c>
    </row>
    <row r="317" spans="1:12" hidden="1" outlineLevel="1">
      <c r="A317" s="1" t="s">
        <v>896</v>
      </c>
      <c r="C317" s="1">
        <f>C311*Assumptions!C53</f>
        <v>7.6134725858145442</v>
      </c>
      <c r="D317" s="1">
        <f>D311*Assumptions!D53</f>
        <v>17.07433955054919</v>
      </c>
      <c r="E317" s="1">
        <f>E311*Assumptions!E53</f>
        <v>28.128775697313849</v>
      </c>
      <c r="F317" s="1">
        <f>F311*Assumptions!F53</f>
        <v>40.530263808072576</v>
      </c>
      <c r="G317" s="1">
        <f>G311*Assumptions!G53</f>
        <v>54.144282477131902</v>
      </c>
      <c r="H317" s="1">
        <f>H311*Assumptions!H53</f>
        <v>66.56807055530345</v>
      </c>
      <c r="I317" s="1">
        <f>I311*Assumptions!I53</f>
        <v>77.284745064108535</v>
      </c>
      <c r="J317" s="1">
        <f>J311*Assumptions!J53</f>
        <v>85.792033425705725</v>
      </c>
      <c r="K317" s="1">
        <f>K311*Assumptions!K53</f>
        <v>91.623985415949988</v>
      </c>
      <c r="L317" s="1">
        <f>L311*Assumptions!L53</f>
        <v>94.372704978428487</v>
      </c>
    </row>
    <row r="318" spans="1:12" hidden="1" outlineLevel="1">
      <c r="A318" s="1" t="s">
        <v>897</v>
      </c>
      <c r="C318" s="1">
        <f>C311*Assumptions!C55</f>
        <v>1.3887194117616648</v>
      </c>
      <c r="D318" s="1">
        <f>D311*Assumptions!D55</f>
        <v>3.1144088994339989</v>
      </c>
      <c r="E318" s="1">
        <f>E311*Assumptions!E55</f>
        <v>5.1307700132436036</v>
      </c>
      <c r="F318" s="1">
        <f>F311*Assumptions!F55</f>
        <v>7.3928372998889369</v>
      </c>
      <c r="G318" s="1">
        <f>G311*Assumptions!G55</f>
        <v>9.8760736660425668</v>
      </c>
      <c r="H318" s="1">
        <f>H311*Assumptions!H55</f>
        <v>12.142208531217772</v>
      </c>
      <c r="I318" s="1">
        <f>I311*Assumptions!I55</f>
        <v>14.096960945725455</v>
      </c>
      <c r="J318" s="1">
        <f>J311*Assumptions!J55</f>
        <v>15.648714939194408</v>
      </c>
      <c r="K318" s="1">
        <f>K311*Assumptions!K55</f>
        <v>16.712479843583015</v>
      </c>
      <c r="L318" s="1">
        <f>L311*Assumptions!L55</f>
        <v>17.213854238890505</v>
      </c>
    </row>
    <row r="319" spans="1:12" hidden="1" outlineLevel="1">
      <c r="A319" s="1" t="s">
        <v>898</v>
      </c>
      <c r="C319" s="1">
        <f>Assumptions!C54</f>
        <v>2.9000000000000001E-2</v>
      </c>
      <c r="D319" s="1">
        <f>Assumptions!D54</f>
        <v>0.03</v>
      </c>
      <c r="E319" s="1">
        <f>Assumptions!E54</f>
        <v>0.03</v>
      </c>
      <c r="F319" s="1">
        <f>Assumptions!F54</f>
        <v>2.9000000000000001E-2</v>
      </c>
      <c r="G319" s="1">
        <f>Assumptions!G54</f>
        <v>2.8000000000000001E-2</v>
      </c>
      <c r="H319" s="1">
        <f>Assumptions!$G$54+($L319-Assumptions!$G$54)*H$33</f>
        <v>3.0273560222376455E-2</v>
      </c>
      <c r="I319" s="1">
        <f>Assumptions!$G$54+($L319-Assumptions!$G$54)*I$33</f>
        <v>3.2547120444752914E-2</v>
      </c>
      <c r="J319" s="1">
        <f>Assumptions!$G$54+($L319-Assumptions!$G$54)*J$33</f>
        <v>3.4820680667129372E-2</v>
      </c>
      <c r="K319" s="1">
        <f>Assumptions!$G$54+($L319-Assumptions!$G$54)*K$33</f>
        <v>3.7094240889505824E-2</v>
      </c>
      <c r="L319" s="1">
        <f>((DCF!$L$9+L316)*DCF!$C$22/DCF!$C$24+DCF!$L$10+L317-(DCF!$L$12+L315)-(-Projections!$L$122+L318))/(Projections!$L$20+L311)</f>
        <v>3.9367801111882282E-2</v>
      </c>
    </row>
    <row r="320" spans="1:12" hidden="1" outlineLevel="1">
      <c r="A320" s="1" t="s">
        <v>899</v>
      </c>
      <c r="C320" s="1">
        <f>DCF!C13+C316+C317-((Projections!C20+C311)*C319+Projections!C121)-C318-C315</f>
        <v>9453.2904287961355</v>
      </c>
      <c r="D320" s="1">
        <f>DCF!D13+D316+D317-((Projections!D20+D311)*D319+Projections!D121)-D318-D315</f>
        <v>11447.394329357048</v>
      </c>
      <c r="E320" s="1">
        <f>DCF!E13+E316+E317-((Projections!E20+E311)*E319+Projections!E121)-E318-E315</f>
        <v>12445.077740638777</v>
      </c>
      <c r="F320" s="1">
        <f>DCF!F13+F316+F317-((Projections!F20+F311)*F319+Projections!F121)-F318-F315</f>
        <v>13503.643805304795</v>
      </c>
      <c r="G320" s="1">
        <f>DCF!G13+G316+G317-((Projections!G20+G311)*G319+Projections!G121)-G318-G315</f>
        <v>14449.909888151869</v>
      </c>
      <c r="H320" s="1">
        <f>DCF!H13+H316+H317-((Projections!H20+H311)*H319+Projections!H121)-H318-H315</f>
        <v>14734.562390485511</v>
      </c>
      <c r="I320" s="1">
        <f>DCF!I13+I316+I317-((Projections!I20+I311)*I319+Projections!I121)-I318-I315</f>
        <v>14968.867919844188</v>
      </c>
      <c r="J320" s="1">
        <f>DCF!J13+J316+J317-((Projections!J20+J311)*J319+Projections!J121)-J318-J315</f>
        <v>15144.363526907193</v>
      </c>
      <c r="K320" s="1">
        <f>DCF!K13+K316+K317-((Projections!K20+K311)*K319+Projections!K121)-K318-K315</f>
        <v>15257.172362909265</v>
      </c>
      <c r="L320" s="1">
        <f>(DCF!$L$9+L316)*(1-DCF!$C$22/DCF!$C$24)</f>
        <v>15304.369149474314</v>
      </c>
    </row>
    <row r="321" spans="1:12" hidden="1" outlineLevel="1">
      <c r="A321" s="1" t="s">
        <v>30</v>
      </c>
      <c r="B321" s="1">
        <f>(SUMPRODUCT(C320:K320,DCF!$C$14:$K$14,DCF!$C$17:$K$17)+L320*DCF!$L$17*(1+(1+DCF!$C$22)/(DCF!$C$21-DCF!$C$22))+DCF!$C$44)/DCF!$C$46</f>
        <v>154.67084142226855</v>
      </c>
    </row>
    <row r="322" spans="1:12" hidden="1" outlineLevel="1"/>
    <row r="323" spans="1:12" hidden="1" outlineLevel="1">
      <c r="A323" s="1" t="s">
        <v>917</v>
      </c>
      <c r="B323" s="35">
        <f>$B$20-Assumptions!$C$28</f>
        <v>1.0000000000000009E-2</v>
      </c>
      <c r="C323" s="35">
        <f>$F$16-Assumptions!$C$38</f>
        <v>5.0000000000000044E-3</v>
      </c>
    </row>
    <row r="324" spans="1:12" hidden="1" outlineLevel="1">
      <c r="A324" s="1" t="s">
        <v>887</v>
      </c>
      <c r="C324" s="1">
        <f>Projections!B9*(1+Assumptions!C21+$B$323*C$32)</f>
        <v>14714.334285714291</v>
      </c>
      <c r="D324" s="1">
        <f>C324*(1+Assumptions!D21+$B$323*D$32)</f>
        <v>16038.624371428577</v>
      </c>
      <c r="E324" s="1">
        <f>D324*(1+Assumptions!E21+$B$323*E$32)</f>
        <v>17321.714321142867</v>
      </c>
      <c r="F324" s="1">
        <f>E324*(1+Assumptions!F21+$B$323*F$32)</f>
        <v>18534.23432362287</v>
      </c>
      <c r="G324" s="1">
        <f>F324*(1+Assumptions!G21+$B$323*G$32)</f>
        <v>19646.288383040242</v>
      </c>
      <c r="H324" s="1">
        <f>G324*(1+Assumptions!H21+$B$323*H$32)</f>
        <v>20707.187955724417</v>
      </c>
      <c r="I324" s="1">
        <f>H324*(1+Assumptions!I21+$B$323*I$32)</f>
        <v>21701.132977599191</v>
      </c>
      <c r="J324" s="1">
        <f>I324*(1+Assumptions!J21+$B$323*J$32)</f>
        <v>22612.580562658357</v>
      </c>
      <c r="K324" s="1">
        <f>J324*(1+Assumptions!K21+$B$323*K$32)</f>
        <v>23426.633462914058</v>
      </c>
      <c r="L324" s="1">
        <f>K324*(1+Assumptions!L21+$B$323*L$32)</f>
        <v>24129.432466801481</v>
      </c>
    </row>
    <row r="325" spans="1:12" hidden="1" outlineLevel="1">
      <c r="A325" s="1" t="s">
        <v>888</v>
      </c>
      <c r="C325" s="1">
        <f>Projections!B14*(1+Assumptions!C28+$B$323*C$32)</f>
        <v>19765.292307692311</v>
      </c>
      <c r="D325" s="1">
        <f>C325*(1+Assumptions!D28+$B$323*D$32)</f>
        <v>22334.780307692312</v>
      </c>
      <c r="E325" s="1">
        <f>D325*(1+Assumptions!E28+$B$323*E$32)</f>
        <v>24568.258338461546</v>
      </c>
      <c r="F325" s="1">
        <f>E325*(1+Assumptions!F28+$B$323*F$32)</f>
        <v>26533.719005538471</v>
      </c>
      <c r="G325" s="1">
        <f>F325*(1+Assumptions!G28+$B$323*G$32)</f>
        <v>28391.079335926166</v>
      </c>
      <c r="H325" s="1">
        <f>G325*(1+Assumptions!H28+$B$323*H$32)</f>
        <v>30151.326254753589</v>
      </c>
      <c r="I325" s="1">
        <f>H325*(1+Assumptions!I28+$B$323*I$32)</f>
        <v>31779.497872510285</v>
      </c>
      <c r="J325" s="1">
        <f>I325*(1+Assumptions!J28+$B$323*J$32)</f>
        <v>33241.354774645763</v>
      </c>
      <c r="K325" s="1">
        <f>J325*(1+Assumptions!K28+$B$323*K$32)</f>
        <v>34504.526256082303</v>
      </c>
      <c r="L325" s="1">
        <f>K325*(1+Assumptions!L28+$B$323*L$32)</f>
        <v>35539.662043764773</v>
      </c>
    </row>
    <row r="326" spans="1:12" hidden="1" outlineLevel="1">
      <c r="A326" s="1" t="s">
        <v>889</v>
      </c>
      <c r="C326" s="1">
        <f>(C324-Projections!C9)+(C325-Projections!C14)</f>
        <v>302.22791208791205</v>
      </c>
      <c r="D326" s="1">
        <f>(D324-Projections!D9)+(D325-Projections!D14)</f>
        <v>677.7908417582421</v>
      </c>
      <c r="E326" s="1">
        <f>(E324-Projections!E9)+(E325-Projections!E14)</f>
        <v>1116.6128271648377</v>
      </c>
      <c r="F326" s="1">
        <f>(F324-Projections!F9)+(F325-Projections!F14)</f>
        <v>1608.9080073538498</v>
      </c>
      <c r="G326" s="1">
        <f>(G324-Projections!G9)+(G325-Projections!G14)</f>
        <v>2149.3363586874948</v>
      </c>
      <c r="H326" s="1">
        <f>(H324-Projections!H9)+(H325-Projections!H14)</f>
        <v>2642.5167686471323</v>
      </c>
      <c r="I326" s="1">
        <f>(I324-Projections!I9)+(I325-Projections!I14)</f>
        <v>3067.9308126087017</v>
      </c>
      <c r="J326" s="1">
        <f>(J324-Projections!J9)+(J325-Projections!J14)</f>
        <v>3405.6400471366978</v>
      </c>
      <c r="K326" s="1">
        <f>(K324-Projections!K9)+(K325-Projections!K14)</f>
        <v>3637.1478976663639</v>
      </c>
      <c r="L326" s="1">
        <f>(L324-Projections!L9)+(L325-Projections!L14)</f>
        <v>3746.2623345963548</v>
      </c>
    </row>
    <row r="327" spans="1:12" hidden="1" outlineLevel="1">
      <c r="A327" s="1" t="s">
        <v>890</v>
      </c>
      <c r="C327" s="1">
        <f>C326*(1+Assumptions!C32)</f>
        <v>293.93312048842097</v>
      </c>
      <c r="D327" s="1">
        <f>D326*(1+Assumptions!D32)</f>
        <v>659.18854344109366</v>
      </c>
      <c r="E327" s="1">
        <f>E326*(1+Assumptions!E32)</f>
        <v>1085.9668466706314</v>
      </c>
      <c r="F327" s="1">
        <f>F326*(1+Assumptions!F32)</f>
        <v>1564.7507469222896</v>
      </c>
      <c r="G327" s="1">
        <f>G326*(1+Assumptions!G32)</f>
        <v>2090.3467800964349</v>
      </c>
      <c r="H327" s="1">
        <f>H326*(1+Assumptions!H32)</f>
        <v>2569.9916145584102</v>
      </c>
      <c r="I327" s="1">
        <f>I326*(1+Assumptions!I32)</f>
        <v>2983.7299637974766</v>
      </c>
      <c r="J327" s="1">
        <f>J326*(1+Assumptions!J32)</f>
        <v>3312.1706046264944</v>
      </c>
      <c r="K327" s="1">
        <f>K326*(1+Assumptions!K32)</f>
        <v>3537.3246099387438</v>
      </c>
      <c r="L327" s="1">
        <f>L326*(1+Assumptions!L32)</f>
        <v>3643.4443482369061</v>
      </c>
    </row>
    <row r="328" spans="1:12" hidden="1" outlineLevel="1">
      <c r="A328" s="1" t="s">
        <v>891</v>
      </c>
      <c r="C328" s="1">
        <f>(C324-Projections!C9)*Assumptions!C36+(C325-Projections!C14)*Assumptions!C37+C327*(Assumptions!C39+Assumptions!C40)+Projections!C17*$C$323</f>
        <v>194.52984757201477</v>
      </c>
      <c r="D328" s="1">
        <f>(D324-Projections!D9)*Assumptions!D36+(D325-Projections!D14)*Assumptions!D37+D327*(Assumptions!D39+Assumptions!D40)+Projections!D17*$C$323</f>
        <v>254.65561608593748</v>
      </c>
      <c r="E328" s="1">
        <f>(E324-Projections!E9)*Assumptions!E36+(E325-Projections!E14)*Assumptions!E37+E327*(Assumptions!E39+Assumptions!E40)+Projections!E17*$C$323</f>
        <v>325.47194244779666</v>
      </c>
      <c r="F328" s="1">
        <f>(F324-Projections!F9)*Assumptions!F36+(F325-Projections!F14)*Assumptions!F37+F327*(Assumptions!F39+Assumptions!F40)+Projections!F17*$C$323</f>
        <v>406.63609533580188</v>
      </c>
      <c r="G328" s="1">
        <f>(G324-Projections!G9)*Assumptions!G36+(G325-Projections!G14)*Assumptions!G37+G327*(Assumptions!G39+Assumptions!G40)+Projections!G17*$C$323</f>
        <v>493.36325107310188</v>
      </c>
      <c r="H328" s="1">
        <f>(H324-Projections!H9)*Assumptions!H36+(H325-Projections!H14)*Assumptions!H37+H327*(Assumptions!H39+Assumptions!H40)+Projections!H17*$C$323</f>
        <v>568.68883329242215</v>
      </c>
      <c r="I328" s="1">
        <f>(I324-Projections!I9)*Assumptions!I36+(I325-Projections!I14)*Assumptions!I37+I327*(Assumptions!I39+Assumptions!I40)+Projections!I17*$C$323</f>
        <v>634.47934732886574</v>
      </c>
      <c r="J328" s="1">
        <f>(J324-Projections!J9)*Assumptions!J36+(J325-Projections!J14)*Assumptions!J37+J327*(Assumptions!J39+Assumptions!J40)+Projections!J17*$C$323</f>
        <v>688.02713879693852</v>
      </c>
      <c r="K328" s="1">
        <f>(K324-Projections!K9)*Assumptions!K36+(K325-Projections!K14)*Assumptions!K37+K327*(Assumptions!K39+Assumptions!K40)+Projections!K17*$C$323</f>
        <v>726.8130331189401</v>
      </c>
      <c r="L328" s="1">
        <f>(L324-Projections!L9)*Assumptions!L36+(L325-Projections!L14)*Assumptions!L37+L327*(Assumptions!L39+Assumptions!L40)+Projections!L17*$C$323</f>
        <v>748.61742411250827</v>
      </c>
    </row>
    <row r="329" spans="1:12" hidden="1" outlineLevel="1">
      <c r="A329" s="1" t="s">
        <v>892</v>
      </c>
      <c r="C329" s="1">
        <f>C327*(1-Assumptions!C44-Assumptions!C45+Assumptions!C46)-C328</f>
        <v>71.185693349517749</v>
      </c>
      <c r="D329" s="1">
        <f>D327*(1-Assumptions!D44-Assumptions!D45+Assumptions!D46)-D328</f>
        <v>341.2508271848111</v>
      </c>
      <c r="E329" s="1">
        <f>E327*(1-Assumptions!E44-Assumptions!E45+Assumptions!E46)-E328</f>
        <v>656.24208694245408</v>
      </c>
      <c r="F329" s="1">
        <f>F327*(1-Assumptions!F44-Assumptions!F45+Assumptions!F46)-F328</f>
        <v>1007.8985798819479</v>
      </c>
      <c r="G329" s="1">
        <f>G327*(1-Assumptions!G44-Assumptions!G45+Assumptions!G46)-G328</f>
        <v>1396.310238134075</v>
      </c>
      <c r="H329" s="1">
        <f>H327*(1-Assumptions!H44-Assumptions!H45+Assumptions!H46)-H328</f>
        <v>1754.5835862683803</v>
      </c>
      <c r="I329" s="1">
        <f>I327*(1-Assumptions!I44-Assumptions!I45+Assumptions!I46)-I328</f>
        <v>2062.8125399440532</v>
      </c>
      <c r="J329" s="1">
        <f>J327*(1-Assumptions!J44-Assumptions!J45+Assumptions!J46)-J328</f>
        <v>2306.175087785412</v>
      </c>
      <c r="K329" s="1">
        <f>K327*(1-Assumptions!K44-Assumptions!K45+Assumptions!K46)-K328</f>
        <v>2470.9284142656843</v>
      </c>
      <c r="L329" s="1">
        <f>L327*(1-Assumptions!L44-Assumptions!L45+Assumptions!L46)-L328</f>
        <v>2545.0562666936548</v>
      </c>
    </row>
    <row r="330" spans="1:12" hidden="1" outlineLevel="1">
      <c r="A330" s="1" t="s">
        <v>893</v>
      </c>
      <c r="C330" s="1">
        <f>C327*(Assumptions!C57/Assumptions!$C$9+Assumptions!C58+Assumptions!C62+Assumptions!C64+Assumptions!C65+Assumptions!C67-Assumptions!C63-Assumptions!C61-Assumptions!C66-Assumptions!C68)+C329*(Assumptions!C59-Assumptions!C60)/Assumptions!$C$9</f>
        <v>2.3897496290878846</v>
      </c>
      <c r="D330" s="1">
        <f>D327*(Assumptions!D57/Assumptions!$C$9+Assumptions!D58+Assumptions!D62+Assumptions!D64+Assumptions!D65+Assumptions!D67-Assumptions!D63-Assumptions!D61-Assumptions!D66-Assumptions!D68)+D329*(Assumptions!D59-Assumptions!D60)/Assumptions!$C$9</f>
        <v>-1.3029752193308823</v>
      </c>
      <c r="E330" s="1">
        <f>E327*(Assumptions!E57/Assumptions!$C$9+Assumptions!E58+Assumptions!E62+Assumptions!E64+Assumptions!E65+Assumptions!E67-Assumptions!E63-Assumptions!E61-Assumptions!E66-Assumptions!E68)+E329*(Assumptions!E59-Assumptions!E60)/Assumptions!$C$9</f>
        <v>-5.5970376107056907</v>
      </c>
      <c r="F330" s="1">
        <f>F327*(Assumptions!F57/Assumptions!$C$9+Assumptions!F58+Assumptions!F62+Assumptions!F64+Assumptions!F65+Assumptions!F67-Assumptions!F63-Assumptions!F61-Assumptions!F66-Assumptions!F68)+F329*(Assumptions!F59-Assumptions!F60)/Assumptions!$C$9</f>
        <v>-10.351317129430036</v>
      </c>
      <c r="G330" s="1">
        <f>G327*(Assumptions!G57/Assumptions!$C$9+Assumptions!G58+Assumptions!G62+Assumptions!G64+Assumptions!G65+Assumptions!G67-Assumptions!G63-Assumptions!G61-Assumptions!G66-Assumptions!G68)+G329*(Assumptions!G59-Assumptions!G60)/Assumptions!$C$9</f>
        <v>-15.657479235671609</v>
      </c>
      <c r="H330" s="1">
        <f>H327*(Assumptions!H57/Assumptions!$C$9+Assumptions!H58+Assumptions!H62+Assumptions!H64+Assumptions!H65+Assumptions!H67-Assumptions!H63-Assumptions!H61-Assumptions!H66-Assumptions!H68)+H329*(Assumptions!H59-Assumptions!H60)/Assumptions!$C$9</f>
        <v>-20.639853496634835</v>
      </c>
      <c r="I330" s="1">
        <f>I327*(Assumptions!I57/Assumptions!$C$9+Assumptions!I58+Assumptions!I62+Assumptions!I64+Assumptions!I65+Assumptions!I67-Assumptions!I63-Assumptions!I61-Assumptions!I66-Assumptions!I68)+I329*(Assumptions!I59-Assumptions!I60)/Assumptions!$C$9</f>
        <v>-24.907709926883122</v>
      </c>
      <c r="J330" s="1">
        <f>J327*(Assumptions!J57/Assumptions!$C$9+Assumptions!J58+Assumptions!J62+Assumptions!J64+Assumptions!J65+Assumptions!J67-Assumptions!J63-Assumptions!J61-Assumptions!J66-Assumptions!J68)+J329*(Assumptions!J59-Assumptions!J60)/Assumptions!$C$9</f>
        <v>-28.247233440904324</v>
      </c>
      <c r="K330" s="1">
        <f>K327*(Assumptions!K57/Assumptions!$C$9+Assumptions!K58+Assumptions!K62+Assumptions!K64+Assumptions!K65+Assumptions!K67-Assumptions!K63-Assumptions!K61-Assumptions!K66-Assumptions!K68)+K329*(Assumptions!K59-Assumptions!K60)/Assumptions!$C$9</f>
        <v>-30.460340003981713</v>
      </c>
      <c r="L330" s="1">
        <f>L327*(Assumptions!L57/Assumptions!$C$9+Assumptions!L58+Assumptions!L62+Assumptions!L64+Assumptions!L65+Assumptions!L67-Assumptions!L63-Assumptions!L61-Assumptions!L66-Assumptions!L68)+L329*(Assumptions!L59-Assumptions!L60)/Assumptions!$C$9</f>
        <v>-31.374150204101163</v>
      </c>
    </row>
    <row r="331" spans="1:12" hidden="1" outlineLevel="1">
      <c r="A331" s="1" t="s">
        <v>894</v>
      </c>
      <c r="C331" s="1">
        <f>C330</f>
        <v>2.3897496290878846</v>
      </c>
      <c r="D331" s="1">
        <f>D330-C330</f>
        <v>-3.6927248484187669</v>
      </c>
      <c r="E331" s="1">
        <f>E330-D330</f>
        <v>-4.2940623913748084</v>
      </c>
      <c r="F331" s="1">
        <f>F330-E330</f>
        <v>-4.7542795187243456</v>
      </c>
      <c r="G331" s="1">
        <f>G330-F330</f>
        <v>-5.3061621062415725</v>
      </c>
      <c r="H331" s="1">
        <f>H330-G330</f>
        <v>-4.9823742609632262</v>
      </c>
      <c r="I331" s="1">
        <f>I330-H330</f>
        <v>-4.2678564302482869</v>
      </c>
      <c r="J331" s="1">
        <f>J330-I330</f>
        <v>-3.3395235140212023</v>
      </c>
      <c r="K331" s="1">
        <f>K330-J330</f>
        <v>-2.213106563077389</v>
      </c>
      <c r="L331" s="1">
        <f>L330-K330</f>
        <v>-0.91381020011944969</v>
      </c>
    </row>
    <row r="332" spans="1:12" hidden="1" outlineLevel="1">
      <c r="A332" s="1" t="s">
        <v>895</v>
      </c>
      <c r="C332" s="1">
        <f>C328*(1-Assumptions!C49)</f>
        <v>161.61220782755029</v>
      </c>
      <c r="D332" s="1">
        <f>D328*(1-Assumptions!D49)</f>
        <v>206.11698079162744</v>
      </c>
      <c r="E332" s="1">
        <f>E328*(1-Assumptions!E49)</f>
        <v>263.43536082505716</v>
      </c>
      <c r="F332" s="1">
        <f>F328*(1-Assumptions!F49)</f>
        <v>329.12921984499775</v>
      </c>
      <c r="G332" s="1">
        <f>G328*(1-Assumptions!G49)</f>
        <v>399.32574552140392</v>
      </c>
      <c r="H332" s="1">
        <f>H328*(1-Assumptions!H49)</f>
        <v>460.29389467142437</v>
      </c>
      <c r="I332" s="1">
        <f>I328*(1-Assumptions!I49)</f>
        <v>513.54440736910908</v>
      </c>
      <c r="J332" s="1">
        <f>J328*(1-Assumptions!J49)</f>
        <v>556.88572171001954</v>
      </c>
      <c r="K332" s="1">
        <f>K328*(1-Assumptions!K49)</f>
        <v>588.2788304025695</v>
      </c>
      <c r="L332" s="1">
        <f>L328*(1-Assumptions!L49)</f>
        <v>605.9271953146465</v>
      </c>
    </row>
    <row r="333" spans="1:12" hidden="1" outlineLevel="1">
      <c r="A333" s="1" t="s">
        <v>896</v>
      </c>
      <c r="C333" s="1">
        <f>C327*Assumptions!C53</f>
        <v>7.6134725858145442</v>
      </c>
      <c r="D333" s="1">
        <f>D327*Assumptions!D53</f>
        <v>17.07433955054919</v>
      </c>
      <c r="E333" s="1">
        <f>E327*Assumptions!E53</f>
        <v>28.128775697313849</v>
      </c>
      <c r="F333" s="1">
        <f>F327*Assumptions!F53</f>
        <v>40.530263808072576</v>
      </c>
      <c r="G333" s="1">
        <f>G327*Assumptions!G53</f>
        <v>54.144282477131902</v>
      </c>
      <c r="H333" s="1">
        <f>H327*Assumptions!H53</f>
        <v>66.56807055530345</v>
      </c>
      <c r="I333" s="1">
        <f>I327*Assumptions!I53</f>
        <v>77.284745064108535</v>
      </c>
      <c r="J333" s="1">
        <f>J327*Assumptions!J53</f>
        <v>85.792033425705725</v>
      </c>
      <c r="K333" s="1">
        <f>K327*Assumptions!K53</f>
        <v>91.623985415949988</v>
      </c>
      <c r="L333" s="1">
        <f>L327*Assumptions!L53</f>
        <v>94.372704978428487</v>
      </c>
    </row>
    <row r="334" spans="1:12" hidden="1" outlineLevel="1">
      <c r="A334" s="1" t="s">
        <v>897</v>
      </c>
      <c r="C334" s="1">
        <f>C327*Assumptions!C55</f>
        <v>1.3887194117616648</v>
      </c>
      <c r="D334" s="1">
        <f>D327*Assumptions!D55</f>
        <v>3.1144088994339989</v>
      </c>
      <c r="E334" s="1">
        <f>E327*Assumptions!E55</f>
        <v>5.1307700132436036</v>
      </c>
      <c r="F334" s="1">
        <f>F327*Assumptions!F55</f>
        <v>7.3928372998889369</v>
      </c>
      <c r="G334" s="1">
        <f>G327*Assumptions!G55</f>
        <v>9.8760736660425668</v>
      </c>
      <c r="H334" s="1">
        <f>H327*Assumptions!H55</f>
        <v>12.142208531217772</v>
      </c>
      <c r="I334" s="1">
        <f>I327*Assumptions!I55</f>
        <v>14.096960945725455</v>
      </c>
      <c r="J334" s="1">
        <f>J327*Assumptions!J55</f>
        <v>15.648714939194408</v>
      </c>
      <c r="K334" s="1">
        <f>K327*Assumptions!K55</f>
        <v>16.712479843583015</v>
      </c>
      <c r="L334" s="1">
        <f>L327*Assumptions!L55</f>
        <v>17.213854238890505</v>
      </c>
    </row>
    <row r="335" spans="1:12" hidden="1" outlineLevel="1">
      <c r="A335" s="1" t="s">
        <v>898</v>
      </c>
      <c r="C335" s="1">
        <f>Assumptions!C54</f>
        <v>2.9000000000000001E-2</v>
      </c>
      <c r="D335" s="1">
        <f>Assumptions!D54</f>
        <v>0.03</v>
      </c>
      <c r="E335" s="1">
        <f>Assumptions!E54</f>
        <v>0.03</v>
      </c>
      <c r="F335" s="1">
        <f>Assumptions!F54</f>
        <v>2.9000000000000001E-2</v>
      </c>
      <c r="G335" s="1">
        <f>Assumptions!G54</f>
        <v>2.8000000000000001E-2</v>
      </c>
      <c r="H335" s="1">
        <f>Assumptions!$G$54+($L335-Assumptions!$G$54)*H$33</f>
        <v>3.0310293157626445E-2</v>
      </c>
      <c r="I335" s="1">
        <f>Assumptions!$G$54+($L335-Assumptions!$G$54)*I$33</f>
        <v>3.2620586315252886E-2</v>
      </c>
      <c r="J335" s="1">
        <f>Assumptions!$G$54+($L335-Assumptions!$G$54)*J$33</f>
        <v>3.4930879472879331E-2</v>
      </c>
      <c r="K335" s="1">
        <f>Assumptions!$G$54+($L335-Assumptions!$G$54)*K$33</f>
        <v>3.7241172630505776E-2</v>
      </c>
      <c r="L335" s="1">
        <f>((DCF!$L$9+L332)*DCF!$C$22/DCF!$C$24+DCF!$L$10+L333-(DCF!$L$12+L331)-(-Projections!$L$122+L334))/(Projections!$L$20+L327)</f>
        <v>3.955146578813222E-2</v>
      </c>
    </row>
    <row r="336" spans="1:12" hidden="1" outlineLevel="1">
      <c r="A336" s="1" t="s">
        <v>899</v>
      </c>
      <c r="C336" s="1">
        <f>DCF!C13+C332+C333-((Projections!C20+C327)*C335+Projections!C121)-C334-C331</f>
        <v>9577.9962111831392</v>
      </c>
      <c r="D336" s="1">
        <f>DCF!D13+D332+D333-((Projections!D20+D327)*D335+Projections!D121)-D334-D331</f>
        <v>11582.996649548353</v>
      </c>
      <c r="E336" s="1">
        <f>DCF!E13+E332+E333-((Projections!E20+E327)*E335+Projections!E121)-E334-E331</f>
        <v>12588.873811435489</v>
      </c>
      <c r="F336" s="1">
        <f>DCF!F13+F332+F333-((Projections!F20+F327)*F335+Projections!F121)-F334-F331</f>
        <v>13654.691323832847</v>
      </c>
      <c r="G336" s="1">
        <f>DCF!G13+G332+G333-((Projections!G20+G327)*G335+Projections!G121)-G334-G331</f>
        <v>14607.064650264034</v>
      </c>
      <c r="H336" s="1">
        <f>DCF!H13+H332+H333-((Projections!H20+H327)*H335+Projections!H121)-H334-H331</f>
        <v>14892.870507494359</v>
      </c>
      <c r="I336" s="1">
        <f>DCF!I13+I332+I333-((Projections!I20+I327)*I335+Projections!I121)-I334-I331</f>
        <v>15127.821629793068</v>
      </c>
      <c r="J336" s="1">
        <f>DCF!J13+J332+J333-((Projections!J20+J327)*J335+Projections!J121)-J334-J331</f>
        <v>15303.463510368119</v>
      </c>
      <c r="K336" s="1">
        <f>DCF!K13+K332+K333-((Projections!K20+K327)*K335+Projections!K121)-K334-K331</f>
        <v>15415.93666511127</v>
      </c>
      <c r="L336" s="1">
        <f>(DCF!$L$9+L332)*(1-DCF!$C$22/DCF!$C$24)</f>
        <v>15462.341558307762</v>
      </c>
    </row>
    <row r="337" spans="1:12" hidden="1" outlineLevel="1">
      <c r="A337" s="1" t="s">
        <v>30</v>
      </c>
      <c r="B337" s="1">
        <f>(SUMPRODUCT(C336:K336,DCF!$C$14:$K$14,DCF!$C$17:$K$17)+L336*DCF!$L$17*(1+(1+DCF!$C$22)/(DCF!$C$21-DCF!$C$22))+DCF!$C$44)/DCF!$C$46</f>
        <v>156.53617892313656</v>
      </c>
    </row>
    <row r="338" spans="1:12" hidden="1" outlineLevel="1"/>
    <row r="339" spans="1:12" hidden="1" outlineLevel="1">
      <c r="A339" s="1" t="s">
        <v>918</v>
      </c>
      <c r="B339" s="35">
        <f>$B$20-Assumptions!$C$28</f>
        <v>1.0000000000000009E-2</v>
      </c>
      <c r="C339" s="35">
        <f>$G$16-Assumptions!$C$38</f>
        <v>1.0000000000000009E-2</v>
      </c>
    </row>
    <row r="340" spans="1:12" hidden="1" outlineLevel="1">
      <c r="A340" s="1" t="s">
        <v>887</v>
      </c>
      <c r="C340" s="1">
        <f>Projections!B9*(1+Assumptions!C21+$B$339*C$32)</f>
        <v>14714.334285714291</v>
      </c>
      <c r="D340" s="1">
        <f>C340*(1+Assumptions!D21+$B$339*D$32)</f>
        <v>16038.624371428577</v>
      </c>
      <c r="E340" s="1">
        <f>D340*(1+Assumptions!E21+$B$339*E$32)</f>
        <v>17321.714321142867</v>
      </c>
      <c r="F340" s="1">
        <f>E340*(1+Assumptions!F21+$B$339*F$32)</f>
        <v>18534.23432362287</v>
      </c>
      <c r="G340" s="1">
        <f>F340*(1+Assumptions!G21+$B$339*G$32)</f>
        <v>19646.288383040242</v>
      </c>
      <c r="H340" s="1">
        <f>G340*(1+Assumptions!H21+$B$339*H$32)</f>
        <v>20707.187955724417</v>
      </c>
      <c r="I340" s="1">
        <f>H340*(1+Assumptions!I21+$B$339*I$32)</f>
        <v>21701.132977599191</v>
      </c>
      <c r="J340" s="1">
        <f>I340*(1+Assumptions!J21+$B$339*J$32)</f>
        <v>22612.580562658357</v>
      </c>
      <c r="K340" s="1">
        <f>J340*(1+Assumptions!K21+$B$339*K$32)</f>
        <v>23426.633462914058</v>
      </c>
      <c r="L340" s="1">
        <f>K340*(1+Assumptions!L21+$B$339*L$32)</f>
        <v>24129.432466801481</v>
      </c>
    </row>
    <row r="341" spans="1:12" hidden="1" outlineLevel="1">
      <c r="A341" s="1" t="s">
        <v>888</v>
      </c>
      <c r="C341" s="1">
        <f>Projections!B14*(1+Assumptions!C28+$B$339*C$32)</f>
        <v>19765.292307692311</v>
      </c>
      <c r="D341" s="1">
        <f>C341*(1+Assumptions!D28+$B$339*D$32)</f>
        <v>22334.780307692312</v>
      </c>
      <c r="E341" s="1">
        <f>D341*(1+Assumptions!E28+$B$339*E$32)</f>
        <v>24568.258338461546</v>
      </c>
      <c r="F341" s="1">
        <f>E341*(1+Assumptions!F28+$B$339*F$32)</f>
        <v>26533.719005538471</v>
      </c>
      <c r="G341" s="1">
        <f>F341*(1+Assumptions!G28+$B$339*G$32)</f>
        <v>28391.079335926166</v>
      </c>
      <c r="H341" s="1">
        <f>G341*(1+Assumptions!H28+$B$339*H$32)</f>
        <v>30151.326254753589</v>
      </c>
      <c r="I341" s="1">
        <f>H341*(1+Assumptions!I28+$B$339*I$32)</f>
        <v>31779.497872510285</v>
      </c>
      <c r="J341" s="1">
        <f>I341*(1+Assumptions!J28+$B$339*J$32)</f>
        <v>33241.354774645763</v>
      </c>
      <c r="K341" s="1">
        <f>J341*(1+Assumptions!K28+$B$339*K$32)</f>
        <v>34504.526256082303</v>
      </c>
      <c r="L341" s="1">
        <f>K341*(1+Assumptions!L28+$B$339*L$32)</f>
        <v>35539.662043764773</v>
      </c>
    </row>
    <row r="342" spans="1:12" hidden="1" outlineLevel="1">
      <c r="A342" s="1" t="s">
        <v>889</v>
      </c>
      <c r="C342" s="1">
        <f>(C340-Projections!C9)+(C341-Projections!C14)</f>
        <v>302.22791208791205</v>
      </c>
      <c r="D342" s="1">
        <f>(D340-Projections!D9)+(D341-Projections!D14)</f>
        <v>677.7908417582421</v>
      </c>
      <c r="E342" s="1">
        <f>(E340-Projections!E9)+(E341-Projections!E14)</f>
        <v>1116.6128271648377</v>
      </c>
      <c r="F342" s="1">
        <f>(F340-Projections!F9)+(F341-Projections!F14)</f>
        <v>1608.9080073538498</v>
      </c>
      <c r="G342" s="1">
        <f>(G340-Projections!G9)+(G341-Projections!G14)</f>
        <v>2149.3363586874948</v>
      </c>
      <c r="H342" s="1">
        <f>(H340-Projections!H9)+(H341-Projections!H14)</f>
        <v>2642.5167686471323</v>
      </c>
      <c r="I342" s="1">
        <f>(I340-Projections!I9)+(I341-Projections!I14)</f>
        <v>3067.9308126087017</v>
      </c>
      <c r="J342" s="1">
        <f>(J340-Projections!J9)+(J341-Projections!J14)</f>
        <v>3405.6400471366978</v>
      </c>
      <c r="K342" s="1">
        <f>(K340-Projections!K9)+(K341-Projections!K14)</f>
        <v>3637.1478976663639</v>
      </c>
      <c r="L342" s="1">
        <f>(L340-Projections!L9)+(L341-Projections!L14)</f>
        <v>3746.2623345963548</v>
      </c>
    </row>
    <row r="343" spans="1:12" hidden="1" outlineLevel="1">
      <c r="A343" s="1" t="s">
        <v>890</v>
      </c>
      <c r="C343" s="1">
        <f>C342*(1+Assumptions!C32)</f>
        <v>293.93312048842097</v>
      </c>
      <c r="D343" s="1">
        <f>D342*(1+Assumptions!D32)</f>
        <v>659.18854344109366</v>
      </c>
      <c r="E343" s="1">
        <f>E342*(1+Assumptions!E32)</f>
        <v>1085.9668466706314</v>
      </c>
      <c r="F343" s="1">
        <f>F342*(1+Assumptions!F32)</f>
        <v>1564.7507469222896</v>
      </c>
      <c r="G343" s="1">
        <f>G342*(1+Assumptions!G32)</f>
        <v>2090.3467800964349</v>
      </c>
      <c r="H343" s="1">
        <f>H342*(1+Assumptions!H32)</f>
        <v>2569.9916145584102</v>
      </c>
      <c r="I343" s="1">
        <f>I342*(1+Assumptions!I32)</f>
        <v>2983.7299637974766</v>
      </c>
      <c r="J343" s="1">
        <f>J342*(1+Assumptions!J32)</f>
        <v>3312.1706046264944</v>
      </c>
      <c r="K343" s="1">
        <f>K342*(1+Assumptions!K32)</f>
        <v>3537.3246099387438</v>
      </c>
      <c r="L343" s="1">
        <f>L342*(1+Assumptions!L32)</f>
        <v>3643.4443482369061</v>
      </c>
    </row>
    <row r="344" spans="1:12" hidden="1" outlineLevel="1">
      <c r="A344" s="1" t="s">
        <v>891</v>
      </c>
      <c r="C344" s="1">
        <f>(C340-Projections!C9)*Assumptions!C36+(C341-Projections!C14)*Assumptions!C37+C343*(Assumptions!C39+Assumptions!C40)+Projections!C17*$C$339</f>
        <v>351.57064757201493</v>
      </c>
      <c r="D344" s="1">
        <f>(D340-Projections!D9)*Assumptions!D36+(D341-Projections!D14)*Assumptions!D37+D343*(Assumptions!D39+Assumptions!D40)+Projections!D17*$C$339</f>
        <v>422.68927208593766</v>
      </c>
      <c r="E344" s="1">
        <f>(E340-Projections!E9)*Assumptions!E36+(E341-Projections!E14)*Assumptions!E37+E343*(Assumptions!E39+Assumptions!E40)+Projections!E17*$C$339</f>
        <v>503.5876178077969</v>
      </c>
      <c r="F344" s="1">
        <f>(F340-Projections!F9)*Assumptions!F36+(F341-Projections!F14)*Assumptions!F37+F343*(Assumptions!F39+Assumptions!F40)+Projections!F17*$C$339</f>
        <v>593.65755446380206</v>
      </c>
      <c r="G344" s="1">
        <f>(G340-Projections!G9)*Assumptions!G36+(G341-Projections!G14)*Assumptions!G37+G343*(Assumptions!G39+Assumptions!G40)+Projections!G17*$C$339</f>
        <v>687.86556856622212</v>
      </c>
      <c r="H344" s="1">
        <f>(H340-Projections!H9)*Assumptions!H36+(H341-Projections!H14)*Assumptions!H37+H343*(Assumptions!H39+Assumptions!H40)+Projections!H17*$C$339</f>
        <v>770.58223885028099</v>
      </c>
      <c r="I344" s="1">
        <f>(I340-Projections!I9)*Assumptions!I36+(I341-Projections!I14)*Assumptions!I37+I343*(Assumptions!I39+Assumptions!I40)+Projections!I17*$C$339</f>
        <v>843.64091548680744</v>
      </c>
      <c r="J344" s="1">
        <f>(J340-Projections!J9)*Assumptions!J36+(J341-Projections!J14)*Assumptions!J37+J343*(Assumptions!J39+Assumptions!J40)+Projections!J17*$C$339</f>
        <v>904.30020027225021</v>
      </c>
      <c r="K344" s="1">
        <f>(K340-Projections!K9)*Assumptions!K36+(K341-Projections!K14)*Assumptions!K37+K343*(Assumptions!K39+Assumptions!K40)+Projections!K17*$C$339</f>
        <v>950.00683256146181</v>
      </c>
      <c r="L344" s="1">
        <f>(L340-Projections!L9)*Assumptions!L36+(L341-Projections!L14)*Assumptions!L37+L343*(Assumptions!L39+Assumptions!L40)+Projections!L17*$C$339</f>
        <v>978.50703753830567</v>
      </c>
    </row>
    <row r="345" spans="1:12" hidden="1" outlineLevel="1">
      <c r="A345" s="1" t="s">
        <v>892</v>
      </c>
      <c r="C345" s="1">
        <f>C343*(1-Assumptions!C44-Assumptions!C45+Assumptions!C46)-C344</f>
        <v>-85.855106650482412</v>
      </c>
      <c r="D345" s="1">
        <f>D343*(1-Assumptions!D44-Assumptions!D45+Assumptions!D46)-D344</f>
        <v>173.21717118481092</v>
      </c>
      <c r="E345" s="1">
        <f>E343*(1-Assumptions!E44-Assumptions!E45+Assumptions!E46)-E344</f>
        <v>478.12641158245384</v>
      </c>
      <c r="F345" s="1">
        <f>F343*(1-Assumptions!F44-Assumptions!F45+Assumptions!F46)-F344</f>
        <v>820.87712075394768</v>
      </c>
      <c r="G345" s="1">
        <f>G343*(1-Assumptions!G44-Assumptions!G45+Assumptions!G46)-G344</f>
        <v>1201.8079206409548</v>
      </c>
      <c r="H345" s="1">
        <f>H343*(1-Assumptions!H44-Assumptions!H45+Assumptions!H46)-H344</f>
        <v>1552.6901807105214</v>
      </c>
      <c r="I345" s="1">
        <f>I343*(1-Assumptions!I44-Assumptions!I45+Assumptions!I46)-I344</f>
        <v>1853.6509717861113</v>
      </c>
      <c r="J345" s="1">
        <f>J343*(1-Assumptions!J44-Assumptions!J45+Assumptions!J46)-J344</f>
        <v>2089.9020263101006</v>
      </c>
      <c r="K345" s="1">
        <f>K343*(1-Assumptions!K44-Assumptions!K45+Assumptions!K46)-K344</f>
        <v>2247.7346148231627</v>
      </c>
      <c r="L345" s="1">
        <f>L343*(1-Assumptions!L44-Assumptions!L45+Assumptions!L46)-L344</f>
        <v>2315.1666532678573</v>
      </c>
    </row>
    <row r="346" spans="1:12" hidden="1" outlineLevel="1">
      <c r="A346" s="1" t="s">
        <v>893</v>
      </c>
      <c r="C346" s="1">
        <f>C343*(Assumptions!C57/Assumptions!$C$9+Assumptions!C58+Assumptions!C62+Assumptions!C64+Assumptions!C65+Assumptions!C67-Assumptions!C63-Assumptions!C61-Assumptions!C66-Assumptions!C68)+C345*(Assumptions!C59-Assumptions!C60)/Assumptions!$C$9</f>
        <v>8.1508890218355017</v>
      </c>
      <c r="D346" s="1">
        <f>D343*(Assumptions!D57/Assumptions!$C$9+Assumptions!D58+Assumptions!D62+Assumptions!D64+Assumptions!D65+Assumptions!D67-Assumptions!D63-Assumptions!D61-Assumptions!D66-Assumptions!D68)+D345*(Assumptions!D59-Assumptions!D60)/Assumptions!$C$9</f>
        <v>4.8614439309090693</v>
      </c>
      <c r="E346" s="1">
        <f>E343*(Assumptions!E57/Assumptions!$C$9+Assumptions!E58+Assumptions!E62+Assumptions!E64+Assumptions!E65+Assumptions!E67-Assumptions!E63-Assumptions!E61-Assumptions!E66-Assumptions!E68)+E345*(Assumptions!E59-Assumptions!E60)/Assumptions!$C$9</f>
        <v>0.93724668854865811</v>
      </c>
      <c r="F346" s="1">
        <f>F343*(Assumptions!F57/Assumptions!$C$9+Assumptions!F58+Assumptions!F62+Assumptions!F64+Assumptions!F65+Assumptions!F67-Assumptions!F63-Assumptions!F61-Assumptions!F66-Assumptions!F68)+F345*(Assumptions!F59-Assumptions!F60)/Assumptions!$C$9</f>
        <v>-3.4903186152129777</v>
      </c>
      <c r="G346" s="1">
        <f>G343*(Assumptions!G57/Assumptions!$C$9+Assumptions!G58+Assumptions!G62+Assumptions!G64+Assumptions!G65+Assumptions!G67-Assumptions!G63-Assumptions!G61-Assumptions!G66-Assumptions!G68)+G345*(Assumptions!G59-Assumptions!G60)/Assumptions!$C$9</f>
        <v>-8.5220407808858596</v>
      </c>
      <c r="H346" s="1">
        <f>H343*(Assumptions!H57/Assumptions!$C$9+Assumptions!H58+Assumptions!H62+Assumptions!H64+Assumptions!H65+Assumptions!H67-Assumptions!H63-Assumptions!H61-Assumptions!H66-Assumptions!H68)+H345*(Assumptions!H59-Assumptions!H60)/Assumptions!$C$9</f>
        <v>-13.233268380567232</v>
      </c>
      <c r="I346" s="1">
        <f>I343*(Assumptions!I57/Assumptions!$C$9+Assumptions!I58+Assumptions!I62+Assumptions!I64+Assumptions!I65+Assumptions!I67-Assumptions!I63-Assumptions!I61-Assumptions!I66-Assumptions!I68)+I345*(Assumptions!I59-Assumptions!I60)/Assumptions!$C$9</f>
        <v>-17.234487746637079</v>
      </c>
      <c r="J346" s="1">
        <f>J343*(Assumptions!J57/Assumptions!$C$9+Assumptions!J58+Assumptions!J62+Assumptions!J64+Assumptions!J65+Assumptions!J67-Assumptions!J63-Assumptions!J61-Assumptions!J66-Assumptions!J68)+J345*(Assumptions!J59-Assumptions!J60)/Assumptions!$C$9</f>
        <v>-20.313121706529927</v>
      </c>
      <c r="K346" s="1">
        <f>K343*(Assumptions!K57/Assumptions!$C$9+Assumptions!K58+Assumptions!K62+Assumptions!K64+Assumptions!K65+Assumptions!K67-Assumptions!K63-Assumptions!K61-Assumptions!K66-Assumptions!K68)+K345*(Assumptions!K59-Assumptions!K60)/Assumptions!$C$9</f>
        <v>-22.272336694107324</v>
      </c>
      <c r="L346" s="1">
        <f>L343*(Assumptions!L57/Assumptions!$C$9+Assumptions!L58+Assumptions!L62+Assumptions!L64+Assumptions!L65+Assumptions!L67-Assumptions!L63-Assumptions!L61-Assumptions!L66-Assumptions!L68)+L345*(Assumptions!L59-Assumptions!L60)/Assumptions!$C$9</f>
        <v>-22.940506794930549</v>
      </c>
    </row>
    <row r="347" spans="1:12" hidden="1" outlineLevel="1">
      <c r="A347" s="1" t="s">
        <v>894</v>
      </c>
      <c r="C347" s="1">
        <f>C346</f>
        <v>8.1508890218355017</v>
      </c>
      <c r="D347" s="1">
        <f>D346-C346</f>
        <v>-3.2894450909264323</v>
      </c>
      <c r="E347" s="1">
        <f>E346-D346</f>
        <v>-3.9241972423604112</v>
      </c>
      <c r="F347" s="1">
        <f>F346-E346</f>
        <v>-4.4275653037616358</v>
      </c>
      <c r="G347" s="1">
        <f>G346-F346</f>
        <v>-5.0317221656728819</v>
      </c>
      <c r="H347" s="1">
        <f>H346-G346</f>
        <v>-4.7112275996813722</v>
      </c>
      <c r="I347" s="1">
        <f>I346-H346</f>
        <v>-4.0012193660698472</v>
      </c>
      <c r="J347" s="1">
        <f>J346-I346</f>
        <v>-3.0786339598928478</v>
      </c>
      <c r="K347" s="1">
        <f>K346-J346</f>
        <v>-1.959214987577397</v>
      </c>
      <c r="L347" s="1">
        <f>L346-K346</f>
        <v>-0.66817010082322525</v>
      </c>
    </row>
    <row r="348" spans="1:12" hidden="1" outlineLevel="1">
      <c r="A348" s="1" t="s">
        <v>895</v>
      </c>
      <c r="C348" s="1">
        <f>C344*(1-Assumptions!C49)</f>
        <v>292.0791296073005</v>
      </c>
      <c r="D348" s="1">
        <f>D344*(1-Assumptions!D49)</f>
        <v>342.12258074042649</v>
      </c>
      <c r="E348" s="1">
        <f>E344*(1-Assumptions!E49)</f>
        <v>407.60129677078419</v>
      </c>
      <c r="F348" s="1">
        <f>F344*(1-Assumptions!F49)</f>
        <v>480.50345258801104</v>
      </c>
      <c r="G348" s="1">
        <f>G344*(1-Assumptions!G49)</f>
        <v>556.75494757413776</v>
      </c>
      <c r="H348" s="1">
        <f>H344*(1-Assumptions!H49)</f>
        <v>623.70540640216223</v>
      </c>
      <c r="I348" s="1">
        <f>I344*(1-Assumptions!I49)</f>
        <v>682.83873352215346</v>
      </c>
      <c r="J348" s="1">
        <f>J344*(1-Assumptions!J49)</f>
        <v>731.93605495226734</v>
      </c>
      <c r="K348" s="1">
        <f>K344*(1-Assumptions!K49)</f>
        <v>768.9307743085692</v>
      </c>
      <c r="L348" s="1">
        <f>L344*(1-Assumptions!L49)</f>
        <v>791.99869753782627</v>
      </c>
    </row>
    <row r="349" spans="1:12" hidden="1" outlineLevel="1">
      <c r="A349" s="1" t="s">
        <v>896</v>
      </c>
      <c r="C349" s="1">
        <f>C343*Assumptions!C53</f>
        <v>7.6134725858145442</v>
      </c>
      <c r="D349" s="1">
        <f>D343*Assumptions!D53</f>
        <v>17.07433955054919</v>
      </c>
      <c r="E349" s="1">
        <f>E343*Assumptions!E53</f>
        <v>28.128775697313849</v>
      </c>
      <c r="F349" s="1">
        <f>F343*Assumptions!F53</f>
        <v>40.530263808072576</v>
      </c>
      <c r="G349" s="1">
        <f>G343*Assumptions!G53</f>
        <v>54.144282477131902</v>
      </c>
      <c r="H349" s="1">
        <f>H343*Assumptions!H53</f>
        <v>66.56807055530345</v>
      </c>
      <c r="I349" s="1">
        <f>I343*Assumptions!I53</f>
        <v>77.284745064108535</v>
      </c>
      <c r="J349" s="1">
        <f>J343*Assumptions!J53</f>
        <v>85.792033425705725</v>
      </c>
      <c r="K349" s="1">
        <f>K343*Assumptions!K53</f>
        <v>91.623985415949988</v>
      </c>
      <c r="L349" s="1">
        <f>L343*Assumptions!L53</f>
        <v>94.372704978428487</v>
      </c>
    </row>
    <row r="350" spans="1:12" hidden="1" outlineLevel="1">
      <c r="A350" s="1" t="s">
        <v>897</v>
      </c>
      <c r="C350" s="1">
        <f>C343*Assumptions!C55</f>
        <v>1.3887194117616648</v>
      </c>
      <c r="D350" s="1">
        <f>D343*Assumptions!D55</f>
        <v>3.1144088994339989</v>
      </c>
      <c r="E350" s="1">
        <f>E343*Assumptions!E55</f>
        <v>5.1307700132436036</v>
      </c>
      <c r="F350" s="1">
        <f>F343*Assumptions!F55</f>
        <v>7.3928372998889369</v>
      </c>
      <c r="G350" s="1">
        <f>G343*Assumptions!G55</f>
        <v>9.8760736660425668</v>
      </c>
      <c r="H350" s="1">
        <f>H343*Assumptions!H55</f>
        <v>12.142208531217772</v>
      </c>
      <c r="I350" s="1">
        <f>I343*Assumptions!I55</f>
        <v>14.096960945725455</v>
      </c>
      <c r="J350" s="1">
        <f>J343*Assumptions!J55</f>
        <v>15.648714939194408</v>
      </c>
      <c r="K350" s="1">
        <f>K343*Assumptions!K55</f>
        <v>16.712479843583015</v>
      </c>
      <c r="L350" s="1">
        <f>L343*Assumptions!L55</f>
        <v>17.213854238890505</v>
      </c>
    </row>
    <row r="351" spans="1:12" hidden="1" outlineLevel="1">
      <c r="A351" s="1" t="s">
        <v>898</v>
      </c>
      <c r="C351" s="1">
        <f>Assumptions!C54</f>
        <v>2.9000000000000001E-2</v>
      </c>
      <c r="D351" s="1">
        <f>Assumptions!D54</f>
        <v>0.03</v>
      </c>
      <c r="E351" s="1">
        <f>Assumptions!E54</f>
        <v>0.03</v>
      </c>
      <c r="F351" s="1">
        <f>Assumptions!F54</f>
        <v>2.9000000000000001E-2</v>
      </c>
      <c r="G351" s="1">
        <f>Assumptions!G54</f>
        <v>2.8000000000000001E-2</v>
      </c>
      <c r="H351" s="1">
        <f>Assumptions!$G$54+($L351-Assumptions!$G$54)*H$33</f>
        <v>3.0347026092876431E-2</v>
      </c>
      <c r="I351" s="1">
        <f>Assumptions!$G$54+($L351-Assumptions!$G$54)*I$33</f>
        <v>3.2694052185752866E-2</v>
      </c>
      <c r="J351" s="1">
        <f>Assumptions!$G$54+($L351-Assumptions!$G$54)*J$33</f>
        <v>3.5041078278629297E-2</v>
      </c>
      <c r="K351" s="1">
        <f>Assumptions!$G$54+($L351-Assumptions!$G$54)*K$33</f>
        <v>3.7388104371505727E-2</v>
      </c>
      <c r="L351" s="1">
        <f>((DCF!$L$9+L348)*DCF!$C$22/DCF!$C$24+DCF!$L$10+L349-(DCF!$L$12+L347)-(-Projections!$L$122+L350))/(Projections!$L$20+L343)</f>
        <v>3.9735130464382158E-2</v>
      </c>
    </row>
    <row r="352" spans="1:12" hidden="1" outlineLevel="1">
      <c r="A352" s="1" t="s">
        <v>899</v>
      </c>
      <c r="C352" s="1">
        <f>DCF!C13+C348+C349-((Projections!C20+C343)*C351+Projections!C121)-C350-C347</f>
        <v>9702.701993570141</v>
      </c>
      <c r="D352" s="1">
        <f>DCF!D13+D348+D349-((Projections!D20+D343)*D351+Projections!D121)-D350-D347</f>
        <v>11718.59896973966</v>
      </c>
      <c r="E352" s="1">
        <f>DCF!E13+E348+E349-((Projections!E20+E343)*E351+Projections!E121)-E350-E347</f>
        <v>12732.669882232203</v>
      </c>
      <c r="F352" s="1">
        <f>DCF!F13+F348+F349-((Projections!F20+F343)*F351+Projections!F121)-F350-F347</f>
        <v>13805.738842360897</v>
      </c>
      <c r="G352" s="1">
        <f>DCF!G13+G348+G349-((Projections!G20+G343)*G351+Projections!G121)-G350-G347</f>
        <v>14764.2194123762</v>
      </c>
      <c r="H352" s="1">
        <f>DCF!H13+H348+H349-((Projections!H20+H343)*H351+Projections!H121)-H350-H347</f>
        <v>15051.178624503207</v>
      </c>
      <c r="I352" s="1">
        <f>DCF!I13+I348+I349-((Projections!I20+I343)*I351+Projections!I121)-I350-I347</f>
        <v>15286.775339741951</v>
      </c>
      <c r="J352" s="1">
        <f>DCF!J13+J348+J349-((Projections!J20+J343)*J351+Projections!J121)-J350-J347</f>
        <v>15462.563493829046</v>
      </c>
      <c r="K352" s="1">
        <f>DCF!K13+K348+K349-((Projections!K20+K343)*K351+Projections!K121)-K350-K347</f>
        <v>15574.70096731328</v>
      </c>
      <c r="L352" s="1">
        <f>(DCF!$L$9+L348)*(1-DCF!$C$22/DCF!$C$24)</f>
        <v>15620.313967141215</v>
      </c>
    </row>
    <row r="353" spans="1:12" hidden="1" outlineLevel="1">
      <c r="A353" s="1" t="s">
        <v>30</v>
      </c>
      <c r="B353" s="1">
        <f>(SUMPRODUCT(C352:K352,DCF!$C$14:$K$14,DCF!$C$17:$K$17)+L352*DCF!$L$17*(1+(1+DCF!$C$22)/(DCF!$C$21-DCF!$C$22))+DCF!$C$44)/DCF!$C$46</f>
        <v>158.4015164240046</v>
      </c>
    </row>
    <row r="354" spans="1:12" hidden="1" outlineLevel="1"/>
    <row r="355" spans="1:12" hidden="1" outlineLevel="1">
      <c r="A355" s="1" t="s">
        <v>919</v>
      </c>
      <c r="B355" s="35">
        <f>$B$21-Assumptions!$C$28</f>
        <v>2.0000000000000018E-2</v>
      </c>
      <c r="C355" s="35">
        <f>$C$16-Assumptions!$C$38</f>
        <v>-1.0000000000000009E-2</v>
      </c>
    </row>
    <row r="356" spans="1:12" hidden="1" outlineLevel="1">
      <c r="A356" s="1" t="s">
        <v>887</v>
      </c>
      <c r="C356" s="1">
        <f>Projections!B9*(1+Assumptions!C21+$B$355*C$32)</f>
        <v>14851.851428571434</v>
      </c>
      <c r="D356" s="1">
        <f>C356*(1+Assumptions!D21+$B$355*D$32)</f>
        <v>16337.036571428578</v>
      </c>
      <c r="E356" s="1">
        <f>D356*(1+Assumptions!E21+$B$355*E$32)</f>
        <v>17807.369862857151</v>
      </c>
      <c r="F356" s="1">
        <f>E356*(1+Assumptions!F21+$B$355*F$32)</f>
        <v>19231.959451885723</v>
      </c>
      <c r="G356" s="1">
        <f>F356*(1+Assumptions!G21+$B$355*G$32)</f>
        <v>20578.196613517724</v>
      </c>
      <c r="H356" s="1">
        <f>G356*(1+Assumptions!H21+$B$355*H$32)</f>
        <v>21854.044803555826</v>
      </c>
      <c r="I356" s="1">
        <f>H356*(1+Assumptions!I21+$B$355*I$32)</f>
        <v>23034.163222947842</v>
      </c>
      <c r="J356" s="1">
        <f>I356*(1+Assumptions!J21+$B$355*J$32)</f>
        <v>24093.734731203444</v>
      </c>
      <c r="K356" s="1">
        <f>J356*(1+Assumptions!K21+$B$355*K$32)</f>
        <v>25009.296650989174</v>
      </c>
      <c r="L356" s="1">
        <f>K356*(1+Assumptions!L21+$B$355*L$32)</f>
        <v>25759.57555051885</v>
      </c>
    </row>
    <row r="357" spans="1:12" hidden="1" outlineLevel="1">
      <c r="A357" s="1" t="s">
        <v>888</v>
      </c>
      <c r="C357" s="1">
        <f>Projections!B14*(1+Assumptions!C28+$B$355*C$32)</f>
        <v>19930.00307692308</v>
      </c>
      <c r="D357" s="1">
        <f>C357*(1+Assumptions!D28+$B$355*D$32)</f>
        <v>22720.203507692313</v>
      </c>
      <c r="E357" s="1">
        <f>D357*(1+Assumptions!E28+$B$355*E$32)</f>
        <v>25219.425893538471</v>
      </c>
      <c r="F357" s="1">
        <f>E357*(1+Assumptions!F28+$B$355*F$32)</f>
        <v>27489.174223956936</v>
      </c>
      <c r="G357" s="1">
        <f>F357*(1+Assumptions!G28+$B$355*G$32)</f>
        <v>29688.308161873494</v>
      </c>
      <c r="H357" s="1">
        <f>G357*(1+Assumptions!H28+$B$355*H$32)</f>
        <v>31766.489733204642</v>
      </c>
      <c r="I357" s="1">
        <f>H357*(1+Assumptions!I28+$B$355*I$32)</f>
        <v>33672.479117196919</v>
      </c>
      <c r="J357" s="1">
        <f>I357*(1+Assumptions!J28+$B$355*J$32)</f>
        <v>35356.103073056765</v>
      </c>
      <c r="K357" s="1">
        <f>J357*(1+Assumptions!K28+$B$355*K$32)</f>
        <v>36770.34719597904</v>
      </c>
      <c r="L357" s="1">
        <f>K357*(1+Assumptions!L28+$B$355*L$32)</f>
        <v>37873.457611858415</v>
      </c>
    </row>
    <row r="358" spans="1:12" hidden="1" outlineLevel="1">
      <c r="A358" s="1" t="s">
        <v>889</v>
      </c>
      <c r="C358" s="1">
        <f>(C356-Projections!C9)+(C357-Projections!C14)</f>
        <v>604.45582417582409</v>
      </c>
      <c r="D358" s="1">
        <f>(D356-Projections!D9)+(D357-Projections!D14)</f>
        <v>1361.6262417582439</v>
      </c>
      <c r="E358" s="1">
        <f>(E356-Projections!E9)+(E357-Projections!E14)</f>
        <v>2253.4359239560472</v>
      </c>
      <c r="F358" s="1">
        <f>(F356-Projections!F9)+(F357-Projections!F14)</f>
        <v>3262.0883540351679</v>
      </c>
      <c r="G358" s="1">
        <f>(G356-Projections!G9)+(G357-Projections!G14)</f>
        <v>4378.4734151123048</v>
      </c>
      <c r="H358" s="1">
        <f>(H356-Projections!H9)+(H357-Projections!H14)</f>
        <v>5404.5370949295939</v>
      </c>
      <c r="I358" s="1">
        <f>(I356-Projections!I9)+(I357-Projections!I14)</f>
        <v>6293.9423026439872</v>
      </c>
      <c r="J358" s="1">
        <f>(J356-Projections!J9)+(J357-Projections!J14)</f>
        <v>7001.5425140927873</v>
      </c>
      <c r="K358" s="1">
        <f>(K356-Projections!K9)+(K357-Projections!K14)</f>
        <v>7485.6320256382169</v>
      </c>
      <c r="L358" s="1">
        <f>(L356-Projections!L9)+(L357-Projections!L14)</f>
        <v>7710.2009864073661</v>
      </c>
    </row>
    <row r="359" spans="1:12" hidden="1" outlineLevel="1">
      <c r="A359" s="1" t="s">
        <v>890</v>
      </c>
      <c r="C359" s="1">
        <f>C358*(1+Assumptions!C32)</f>
        <v>587.86624097684194</v>
      </c>
      <c r="D359" s="1">
        <f>D358*(1+Assumptions!D32)</f>
        <v>1324.2557492919573</v>
      </c>
      <c r="E359" s="1">
        <f>E358*(1+Assumptions!E32)</f>
        <v>2191.5892823176505</v>
      </c>
      <c r="F359" s="1">
        <f>F358*(1+Assumptions!F32)</f>
        <v>3172.5587573512657</v>
      </c>
      <c r="G359" s="1">
        <f>G358*(1+Assumptions!G32)</f>
        <v>4258.3040890849188</v>
      </c>
      <c r="H359" s="1">
        <f>H358*(1+Assumptions!H32)</f>
        <v>5256.2069536648123</v>
      </c>
      <c r="I359" s="1">
        <f>I358*(1+Assumptions!I32)</f>
        <v>6121.2020041752385</v>
      </c>
      <c r="J359" s="1">
        <f>J358*(1+Assumptions!J32)</f>
        <v>6809.3817847009796</v>
      </c>
      <c r="K359" s="1">
        <f>K358*(1+Assumptions!K32)</f>
        <v>7280.1852248639589</v>
      </c>
      <c r="L359" s="1">
        <f>L358*(1+Assumptions!L32)</f>
        <v>7498.5907816098807</v>
      </c>
    </row>
    <row r="360" spans="1:12" hidden="1" outlineLevel="1">
      <c r="A360" s="1" t="s">
        <v>891</v>
      </c>
      <c r="C360" s="1">
        <f>(C356-Projections!C9)*Assumptions!C36+(C357-Projections!C14)*Assumptions!C37+C359*(Assumptions!C39+Assumptions!C40)+Projections!C17*$C$355</f>
        <v>-239.10350485597107</v>
      </c>
      <c r="D360" s="1">
        <f>(D356-Projections!D9)*Assumptions!D36+(D357-Projections!D14)*Assumptions!D37+D359*(Assumptions!D39+Assumptions!D40)+Projections!D17*$C$355</f>
        <v>-162.04066872283923</v>
      </c>
      <c r="E360" s="1">
        <f>(E356-Projections!E9)*Assumptions!E36+(E357-Projections!E14)*Assumptions!E37+E359*(Assumptions!E39+Assumptions!E40)+Projections!E17*$C$355</f>
        <v>-58.826324336223934</v>
      </c>
      <c r="F360" s="1">
        <f>(F356-Projections!F9)*Assumptions!F36+(F357-Projections!F14)*Assumptions!F37+F359*(Assumptions!F39+Assumptions!F40)+Projections!F17*$C$355</f>
        <v>71.273302147946367</v>
      </c>
      <c r="G360" s="1">
        <f>(G356-Projections!G9)*Assumptions!G36+(G357-Projections!G14)*Assumptions!G37+G359*(Assumptions!G39+Assumptions!G40)+Projections!G17*$C$355</f>
        <v>219.87595314544944</v>
      </c>
      <c r="H360" s="1">
        <f>(H356-Projections!H9)*Assumptions!H36+(H357-Projections!H14)*Assumptions!H37+H359*(Assumptions!H39+Assumptions!H40)+Projections!H17*$C$355</f>
        <v>346.47425993551434</v>
      </c>
      <c r="I360" s="1">
        <f>(I356-Projections!I9)*Assumptions!I36+(I357-Projections!I14)*Assumptions!I37+I359*(Assumptions!I39+Assumptions!I40)+Projections!I17*$C$355</f>
        <v>454.32721210281426</v>
      </c>
      <c r="J360" s="1">
        <f>(J356-Projections!J9)*Assumptions!J36+(J357-Projections!J14)*Assumptions!J37+J359*(Assumptions!J39+Assumptions!J40)+Projections!J17*$C$355</f>
        <v>537.43000095761329</v>
      </c>
      <c r="K360" s="1">
        <f>(K356-Projections!K9)*Assumptions!K36+(K357-Projections!K14)*Assumptions!K37+K359*(Assumptions!K39+Assumptions!K40)+Projections!K17*$C$355</f>
        <v>590.23454829241655</v>
      </c>
      <c r="L360" s="1">
        <f>(L356-Projections!L9)*Assumptions!L36+(L357-Projections!L14)*Assumptions!L37+L359*(Assumptions!L39+Assumptions!L40)+Projections!L17*$C$355</f>
        <v>607.94158474118899</v>
      </c>
    </row>
    <row r="361" spans="1:12" hidden="1" outlineLevel="1">
      <c r="A361" s="1" t="s">
        <v>892</v>
      </c>
      <c r="C361" s="1">
        <f>C359*(1-Assumptions!C44-Assumptions!C45+Assumptions!C46)-C360</f>
        <v>770.53458669903614</v>
      </c>
      <c r="D361" s="1">
        <f>D359*(1-Assumptions!D44-Assumptions!D45+Assumptions!D46)-D360</f>
        <v>1359.1678660827686</v>
      </c>
      <c r="E361" s="1">
        <f>E359*(1-Assumptions!E44-Assumptions!E45+Assumptions!E46)-E360</f>
        <v>2040.0230355513797</v>
      </c>
      <c r="F361" s="1">
        <f>F359*(1-Assumptions!F44-Assumptions!F45+Assumptions!F46)-F360</f>
        <v>2796.7198144975978</v>
      </c>
      <c r="G361" s="1">
        <f>G359*(1-Assumptions!G44-Assumptions!G45+Assumptions!G46)-G360</f>
        <v>3629.6309433873171</v>
      </c>
      <c r="H361" s="1">
        <f>H359*(1-Assumptions!H44-Assumptions!H45+Assumptions!H46)-H360</f>
        <v>4405.136826177476</v>
      </c>
      <c r="I361" s="1">
        <f>I359*(1-Assumptions!I44-Assumptions!I45+Assumptions!I46)-I360</f>
        <v>5079.2393996716009</v>
      </c>
      <c r="J361" s="1">
        <f>J359*(1-Assumptions!J44-Assumptions!J45+Assumptions!J46)-J360</f>
        <v>5618.2511324120715</v>
      </c>
      <c r="K361" s="1">
        <f>K359*(1-Assumptions!K44-Assumptions!K45+Assumptions!K46)-K360</f>
        <v>5991.0528949846021</v>
      </c>
      <c r="L361" s="1">
        <f>L359*(1-Assumptions!L44-Assumptions!L45+Assumptions!L46)-L360</f>
        <v>6170.7844818341418</v>
      </c>
    </row>
    <row r="362" spans="1:12" hidden="1" outlineLevel="1">
      <c r="A362" s="1" t="s">
        <v>893</v>
      </c>
      <c r="C362" s="1">
        <f>C359*(Assumptions!C57/Assumptions!$C$9+Assumptions!C58+Assumptions!C62+Assumptions!C64+Assumptions!C65+Assumptions!C67-Assumptions!C63-Assumptions!C61-Assumptions!C66-Assumptions!C68)+C361*(Assumptions!C59-Assumptions!C60)/Assumptions!$C$9</f>
        <v>-18.265058312814702</v>
      </c>
      <c r="D362" s="1">
        <f>D359*(Assumptions!D57/Assumptions!$C$9+Assumptions!D58+Assumptions!D62+Assumptions!D64+Assumptions!D65+Assumptions!D67-Assumptions!D63-Assumptions!D61-Assumptions!D66-Assumptions!D68)+D361*(Assumptions!D59-Assumptions!D60)/Assumptions!$C$9</f>
        <v>-27.329846331498189</v>
      </c>
      <c r="E362" s="1">
        <f>E359*(Assumptions!E57/Assumptions!$C$9+Assumptions!E58+Assumptions!E62+Assumptions!E64+Assumptions!E65+Assumptions!E67-Assumptions!E63-Assumptions!E61-Assumptions!E66-Assumptions!E68)+E361*(Assumptions!E59-Assumptions!E60)/Assumptions!$C$9</f>
        <v>-37.549852956528575</v>
      </c>
      <c r="F362" s="1">
        <f>F359*(Assumptions!F57/Assumptions!$C$9+Assumptions!F58+Assumptions!F62+Assumptions!F64+Assumptions!F65+Assumptions!F67-Assumptions!F63-Assumptions!F61-Assumptions!F66-Assumptions!F68)+F361*(Assumptions!F59-Assumptions!F60)/Assumptions!$C$9</f>
        <v>-48.618652611045626</v>
      </c>
      <c r="G362" s="1">
        <f>G359*(Assumptions!G57/Assumptions!$C$9+Assumptions!G58+Assumptions!G62+Assumptions!G64+Assumptions!G65+Assumptions!G67-Assumptions!G63-Assumptions!G61-Assumptions!G66-Assumptions!G68)+G361*(Assumptions!G59-Assumptions!G60)/Assumptions!$C$9</f>
        <v>-60.700672928067604</v>
      </c>
      <c r="H362" s="1">
        <f>H359*(Assumptions!H57/Assumptions!$C$9+Assumptions!H58+Assumptions!H62+Assumptions!H64+Assumptions!H65+Assumptions!H67-Assumptions!H63-Assumptions!H61-Assumptions!H66-Assumptions!H68)+H361*(Assumptions!H59-Assumptions!H60)/Assumptions!$C$9</f>
        <v>-72.17137641462088</v>
      </c>
      <c r="I362" s="1">
        <f>I359*(Assumptions!I57/Assumptions!$C$9+Assumptions!I58+Assumptions!I62+Assumptions!I64+Assumptions!I65+Assumptions!I67-Assumptions!I63-Assumptions!I61-Assumptions!I66-Assumptions!I68)+I361*(Assumptions!I59-Assumptions!I60)/Assumptions!$C$9</f>
        <v>-82.183448891118275</v>
      </c>
      <c r="J362" s="1">
        <f>J359*(Assumptions!J57/Assumptions!$C$9+Assumptions!J58+Assumptions!J62+Assumptions!J64+Assumptions!J65+Assumptions!J67-Assumptions!J63-Assumptions!J61-Assumptions!J66-Assumptions!J68)+J361*(Assumptions!J59-Assumptions!J60)/Assumptions!$C$9</f>
        <v>-90.248123052409596</v>
      </c>
      <c r="K362" s="1">
        <f>K359*(Assumptions!K57/Assumptions!$C$9+Assumptions!K58+Assumptions!K62+Assumptions!K64+Assumptions!K65+Assumptions!K67-Assumptions!K63-Assumptions!K61-Assumptions!K66-Assumptions!K68)+K361*(Assumptions!K59-Assumptions!K60)/Assumptions!$C$9</f>
        <v>-95.913916622228328</v>
      </c>
      <c r="L362" s="1">
        <f>L359*(Assumptions!L57/Assumptions!$C$9+Assumptions!L58+Assumptions!L62+Assumptions!L64+Assumptions!L65+Assumptions!L67-Assumptions!L63-Assumptions!L61-Assumptions!L66-Assumptions!L68)+L361*(Assumptions!L59-Assumptions!L60)/Assumptions!$C$9</f>
        <v>-98.791334120895186</v>
      </c>
    </row>
    <row r="363" spans="1:12" hidden="1" outlineLevel="1">
      <c r="A363" s="1" t="s">
        <v>894</v>
      </c>
      <c r="C363" s="1">
        <f>C362</f>
        <v>-18.265058312814702</v>
      </c>
      <c r="D363" s="1">
        <f>D362-C362</f>
        <v>-9.0647880186834868</v>
      </c>
      <c r="E363" s="1">
        <f>E362-D362</f>
        <v>-10.220006625030386</v>
      </c>
      <c r="F363" s="1">
        <f>F362-E362</f>
        <v>-11.068799654517051</v>
      </c>
      <c r="G363" s="1">
        <f>G362-F362</f>
        <v>-12.082020317021978</v>
      </c>
      <c r="H363" s="1">
        <f>H362-G362</f>
        <v>-11.470703486553276</v>
      </c>
      <c r="I363" s="1">
        <f>I362-H362</f>
        <v>-10.012072476497394</v>
      </c>
      <c r="J363" s="1">
        <f>J362-I362</f>
        <v>-8.0646741612913218</v>
      </c>
      <c r="K363" s="1">
        <f>K362-J362</f>
        <v>-5.6657935698187316</v>
      </c>
      <c r="L363" s="1">
        <f>L362-K362</f>
        <v>-2.8774174986668584</v>
      </c>
    </row>
    <row r="364" spans="1:12" hidden="1" outlineLevel="1">
      <c r="A364" s="1" t="s">
        <v>895</v>
      </c>
      <c r="C364" s="1">
        <f>C360*(1-Assumptions!C49)</f>
        <v>-198.64327146390031</v>
      </c>
      <c r="D364" s="1">
        <f>D360*(1-Assumptions!D49)</f>
        <v>-131.15490604902581</v>
      </c>
      <c r="E364" s="1">
        <f>E360*(1-Assumptions!E49)</f>
        <v>-47.613732418764762</v>
      </c>
      <c r="F364" s="1">
        <f>F360*(1-Assumptions!F49)</f>
        <v>57.688253946956095</v>
      </c>
      <c r="G364" s="1">
        <f>G360*(1-Assumptions!G49)</f>
        <v>177.96649572309997</v>
      </c>
      <c r="H364" s="1">
        <f>H360*(1-Assumptions!H49)</f>
        <v>280.43453145687511</v>
      </c>
      <c r="I364" s="1">
        <f>I360*(1-Assumptions!I49)</f>
        <v>367.73017100281663</v>
      </c>
      <c r="J364" s="1">
        <f>J360*(1-Assumptions!J49)</f>
        <v>434.99315226899404</v>
      </c>
      <c r="K364" s="1">
        <f>K360*(1-Assumptions!K49)</f>
        <v>477.73288852929818</v>
      </c>
      <c r="L364" s="1">
        <f>L360*(1-Assumptions!L49)</f>
        <v>492.06487518517707</v>
      </c>
    </row>
    <row r="365" spans="1:12" hidden="1" outlineLevel="1">
      <c r="A365" s="1" t="s">
        <v>896</v>
      </c>
      <c r="C365" s="1">
        <f>C359*Assumptions!C53</f>
        <v>15.226945171629088</v>
      </c>
      <c r="D365" s="1">
        <f>D359*Assumptions!D53</f>
        <v>34.30094855281471</v>
      </c>
      <c r="E365" s="1">
        <f>E359*Assumptions!E53</f>
        <v>56.766671590341275</v>
      </c>
      <c r="F365" s="1">
        <f>F359*Assumptions!F53</f>
        <v>82.175799330961198</v>
      </c>
      <c r="G365" s="1">
        <f>G359*Assumptions!G53</f>
        <v>110.29883733564201</v>
      </c>
      <c r="H365" s="1">
        <f>H359*Assumptions!H53</f>
        <v>136.146574705831</v>
      </c>
      <c r="I365" s="1">
        <f>I359*Assumptions!I53</f>
        <v>158.55172623480212</v>
      </c>
      <c r="J365" s="1">
        <f>J359*Assumptions!J53</f>
        <v>176.37699847509393</v>
      </c>
      <c r="K365" s="1">
        <f>K359*Assumptions!K53</f>
        <v>188.57177624981981</v>
      </c>
      <c r="L365" s="1">
        <f>L359*Assumptions!L53</f>
        <v>194.22892953731449</v>
      </c>
    </row>
    <row r="366" spans="1:12" hidden="1" outlineLevel="1">
      <c r="A366" s="1" t="s">
        <v>897</v>
      </c>
      <c r="C366" s="1">
        <f>C359*Assumptions!C55</f>
        <v>2.7774388235233296</v>
      </c>
      <c r="D366" s="1">
        <f>D359*Assumptions!D55</f>
        <v>6.2565921871032391</v>
      </c>
      <c r="E366" s="1">
        <f>E359*Assumptions!E55</f>
        <v>10.354405022156156</v>
      </c>
      <c r="F366" s="1">
        <f>F359*Assumptions!F55</f>
        <v>14.989103385039343</v>
      </c>
      <c r="G366" s="1">
        <f>G359*Assumptions!G55</f>
        <v>20.118826826557836</v>
      </c>
      <c r="H366" s="1">
        <f>H359*Assumptions!H55</f>
        <v>24.833528853984724</v>
      </c>
      <c r="I366" s="1">
        <f>I359*Assumptions!I55</f>
        <v>28.920293270752488</v>
      </c>
      <c r="J366" s="1">
        <f>J359*Assumptions!J55</f>
        <v>32.171674463895798</v>
      </c>
      <c r="K366" s="1">
        <f>K359*Assumptions!K55</f>
        <v>34.396037187606808</v>
      </c>
      <c r="L366" s="1">
        <f>L359*Assumptions!L55</f>
        <v>35.427918303235025</v>
      </c>
    </row>
    <row r="367" spans="1:12" hidden="1" outlineLevel="1">
      <c r="A367" s="1" t="s">
        <v>898</v>
      </c>
      <c r="C367" s="1">
        <f>Assumptions!C54</f>
        <v>2.9000000000000001E-2</v>
      </c>
      <c r="D367" s="1">
        <f>Assumptions!D54</f>
        <v>0.03</v>
      </c>
      <c r="E367" s="1">
        <f>Assumptions!E54</f>
        <v>0.03</v>
      </c>
      <c r="F367" s="1">
        <f>Assumptions!F54</f>
        <v>2.9000000000000001E-2</v>
      </c>
      <c r="G367" s="1">
        <f>Assumptions!G54</f>
        <v>2.8000000000000001E-2</v>
      </c>
      <c r="H367" s="1">
        <f>Assumptions!$G$54+($L367-Assumptions!$G$54)*H$33</f>
        <v>3.0199604325397696E-2</v>
      </c>
      <c r="I367" s="1">
        <f>Assumptions!$G$54+($L367-Assumptions!$G$54)*I$33</f>
        <v>3.2399208650795396E-2</v>
      </c>
      <c r="J367" s="1">
        <f>Assumptions!$G$54+($L367-Assumptions!$G$54)*J$33</f>
        <v>3.4598812976193091E-2</v>
      </c>
      <c r="K367" s="1">
        <f>Assumptions!$G$54+($L367-Assumptions!$G$54)*K$33</f>
        <v>3.6798417301590787E-2</v>
      </c>
      <c r="L367" s="1">
        <f>((DCF!$L$9+L364)*DCF!$C$22/DCF!$C$24+DCF!$L$10+L365-(DCF!$L$12+L363)-(-Projections!$L$122+L366))/(Projections!$L$20+L359)</f>
        <v>3.8998021626988483E-2</v>
      </c>
    </row>
    <row r="368" spans="1:12" hidden="1" outlineLevel="1">
      <c r="A368" s="1" t="s">
        <v>899</v>
      </c>
      <c r="C368" s="1">
        <f>DCF!C13+C364+C365-((Projections!C20+C359)*C367+Projections!C121)-C366-C363</f>
        <v>9236.0962325134806</v>
      </c>
      <c r="D368" s="1">
        <f>DCF!D13+D364+D365-((Projections!D20+D359)*D367+Projections!D121)-D366-D363</f>
        <v>11245.229235417037</v>
      </c>
      <c r="E368" s="1">
        <f>DCF!E13+E364+E365-((Projections!E20+E359)*E367+Projections!E121)-E366-E363</f>
        <v>12273.996250240029</v>
      </c>
      <c r="F368" s="1">
        <f>DCF!F13+F364+F365-((Projections!F20+F359)*F367+Projections!F121)-F366-F363</f>
        <v>13376.987715205896</v>
      </c>
      <c r="G368" s="1">
        <f>DCF!G13+G364+G365-((Projections!G20+G359)*G367+Projections!G121)-G366-G363</f>
        <v>14377.690255722828</v>
      </c>
      <c r="H368" s="1">
        <f>DCF!H13+H364+H365-((Projections!H20+H359)*H367+Projections!H121)-H366-H363</f>
        <v>14709.825224530363</v>
      </c>
      <c r="I368" s="1">
        <f>DCF!I13+I364+I365-((Projections!I20+I359)*I367+Projections!I121)-I366-I363</f>
        <v>14982.899973849992</v>
      </c>
      <c r="J368" s="1">
        <f>DCF!J13+J364+J365-((Projections!J20+J359)*J367+Projections!J121)-J366-J363</f>
        <v>15186.636423518858</v>
      </c>
      <c r="K368" s="1">
        <f>DCF!K13+K364+K365-((Projections!K20+K359)*K367+Projections!K121)-K366-K363</f>
        <v>15315.56614690977</v>
      </c>
      <c r="L368" s="1">
        <f>(DCF!$L$9+L364)*(1-DCF!$C$22/DCF!$C$24)</f>
        <v>15365.673853843038</v>
      </c>
    </row>
    <row r="369" spans="1:12" hidden="1" outlineLevel="1">
      <c r="A369" s="1" t="s">
        <v>30</v>
      </c>
      <c r="B369" s="1">
        <f>(SUMPRODUCT(C368:K368,DCF!$C$14:$K$14,DCF!$C$17:$K$17)+L368*DCF!$L$17*(1+(1+DCF!$C$22)/(DCF!$C$21-DCF!$C$22))+DCF!$C$44)/DCF!$C$46</f>
        <v>154.78730982956614</v>
      </c>
    </row>
    <row r="370" spans="1:12" hidden="1" outlineLevel="1"/>
    <row r="371" spans="1:12" hidden="1" outlineLevel="1">
      <c r="A371" s="1" t="s">
        <v>920</v>
      </c>
      <c r="B371" s="35">
        <f>$B$21-Assumptions!$C$28</f>
        <v>2.0000000000000018E-2</v>
      </c>
      <c r="C371" s="35">
        <f>$D$16-Assumptions!$C$38</f>
        <v>-5.0000000000000044E-3</v>
      </c>
    </row>
    <row r="372" spans="1:12" hidden="1" outlineLevel="1">
      <c r="A372" s="1" t="s">
        <v>887</v>
      </c>
      <c r="C372" s="1">
        <f>Projections!B9*(1+Assumptions!C21+$B$371*C$32)</f>
        <v>14851.851428571434</v>
      </c>
      <c r="D372" s="1">
        <f>C372*(1+Assumptions!D21+$B$371*D$32)</f>
        <v>16337.036571428578</v>
      </c>
      <c r="E372" s="1">
        <f>D372*(1+Assumptions!E21+$B$371*E$32)</f>
        <v>17807.369862857151</v>
      </c>
      <c r="F372" s="1">
        <f>E372*(1+Assumptions!F21+$B$371*F$32)</f>
        <v>19231.959451885723</v>
      </c>
      <c r="G372" s="1">
        <f>F372*(1+Assumptions!G21+$B$371*G$32)</f>
        <v>20578.196613517724</v>
      </c>
      <c r="H372" s="1">
        <f>G372*(1+Assumptions!H21+$B$371*H$32)</f>
        <v>21854.044803555826</v>
      </c>
      <c r="I372" s="1">
        <f>H372*(1+Assumptions!I21+$B$371*I$32)</f>
        <v>23034.163222947842</v>
      </c>
      <c r="J372" s="1">
        <f>I372*(1+Assumptions!J21+$B$371*J$32)</f>
        <v>24093.734731203444</v>
      </c>
      <c r="K372" s="1">
        <f>J372*(1+Assumptions!K21+$B$371*K$32)</f>
        <v>25009.296650989174</v>
      </c>
      <c r="L372" s="1">
        <f>K372*(1+Assumptions!L21+$B$371*L$32)</f>
        <v>25759.57555051885</v>
      </c>
    </row>
    <row r="373" spans="1:12" hidden="1" outlineLevel="1">
      <c r="A373" s="1" t="s">
        <v>888</v>
      </c>
      <c r="C373" s="1">
        <f>Projections!B14*(1+Assumptions!C28+$B$371*C$32)</f>
        <v>19930.00307692308</v>
      </c>
      <c r="D373" s="1">
        <f>C373*(1+Assumptions!D28+$B$371*D$32)</f>
        <v>22720.203507692313</v>
      </c>
      <c r="E373" s="1">
        <f>D373*(1+Assumptions!E28+$B$371*E$32)</f>
        <v>25219.425893538471</v>
      </c>
      <c r="F373" s="1">
        <f>E373*(1+Assumptions!F28+$B$371*F$32)</f>
        <v>27489.174223956936</v>
      </c>
      <c r="G373" s="1">
        <f>F373*(1+Assumptions!G28+$B$371*G$32)</f>
        <v>29688.308161873494</v>
      </c>
      <c r="H373" s="1">
        <f>G373*(1+Assumptions!H28+$B$371*H$32)</f>
        <v>31766.489733204642</v>
      </c>
      <c r="I373" s="1">
        <f>H373*(1+Assumptions!I28+$B$371*I$32)</f>
        <v>33672.479117196919</v>
      </c>
      <c r="J373" s="1">
        <f>I373*(1+Assumptions!J28+$B$371*J$32)</f>
        <v>35356.103073056765</v>
      </c>
      <c r="K373" s="1">
        <f>J373*(1+Assumptions!K28+$B$371*K$32)</f>
        <v>36770.34719597904</v>
      </c>
      <c r="L373" s="1">
        <f>K373*(1+Assumptions!L28+$B$371*L$32)</f>
        <v>37873.457611858415</v>
      </c>
    </row>
    <row r="374" spans="1:12" hidden="1" outlineLevel="1">
      <c r="A374" s="1" t="s">
        <v>889</v>
      </c>
      <c r="C374" s="1">
        <f>(C372-Projections!C9)+(C373-Projections!C14)</f>
        <v>604.45582417582409</v>
      </c>
      <c r="D374" s="1">
        <f>(D372-Projections!D9)+(D373-Projections!D14)</f>
        <v>1361.6262417582439</v>
      </c>
      <c r="E374" s="1">
        <f>(E372-Projections!E9)+(E373-Projections!E14)</f>
        <v>2253.4359239560472</v>
      </c>
      <c r="F374" s="1">
        <f>(F372-Projections!F9)+(F373-Projections!F14)</f>
        <v>3262.0883540351679</v>
      </c>
      <c r="G374" s="1">
        <f>(G372-Projections!G9)+(G373-Projections!G14)</f>
        <v>4378.4734151123048</v>
      </c>
      <c r="H374" s="1">
        <f>(H372-Projections!H9)+(H373-Projections!H14)</f>
        <v>5404.5370949295939</v>
      </c>
      <c r="I374" s="1">
        <f>(I372-Projections!I9)+(I373-Projections!I14)</f>
        <v>6293.9423026439872</v>
      </c>
      <c r="J374" s="1">
        <f>(J372-Projections!J9)+(J373-Projections!J14)</f>
        <v>7001.5425140927873</v>
      </c>
      <c r="K374" s="1">
        <f>(K372-Projections!K9)+(K373-Projections!K14)</f>
        <v>7485.6320256382169</v>
      </c>
      <c r="L374" s="1">
        <f>(L372-Projections!L9)+(L373-Projections!L14)</f>
        <v>7710.2009864073661</v>
      </c>
    </row>
    <row r="375" spans="1:12" hidden="1" outlineLevel="1">
      <c r="A375" s="1" t="s">
        <v>890</v>
      </c>
      <c r="C375" s="1">
        <f>C374*(1+Assumptions!C32)</f>
        <v>587.86624097684194</v>
      </c>
      <c r="D375" s="1">
        <f>D374*(1+Assumptions!D32)</f>
        <v>1324.2557492919573</v>
      </c>
      <c r="E375" s="1">
        <f>E374*(1+Assumptions!E32)</f>
        <v>2191.5892823176505</v>
      </c>
      <c r="F375" s="1">
        <f>F374*(1+Assumptions!F32)</f>
        <v>3172.5587573512657</v>
      </c>
      <c r="G375" s="1">
        <f>G374*(1+Assumptions!G32)</f>
        <v>4258.3040890849188</v>
      </c>
      <c r="H375" s="1">
        <f>H374*(1+Assumptions!H32)</f>
        <v>5256.2069536648123</v>
      </c>
      <c r="I375" s="1">
        <f>I374*(1+Assumptions!I32)</f>
        <v>6121.2020041752385</v>
      </c>
      <c r="J375" s="1">
        <f>J374*(1+Assumptions!J32)</f>
        <v>6809.3817847009796</v>
      </c>
      <c r="K375" s="1">
        <f>K374*(1+Assumptions!K32)</f>
        <v>7280.1852248639589</v>
      </c>
      <c r="L375" s="1">
        <f>L374*(1+Assumptions!L32)</f>
        <v>7498.5907816098807</v>
      </c>
    </row>
    <row r="376" spans="1:12" hidden="1" outlineLevel="1">
      <c r="A376" s="1" t="s">
        <v>891</v>
      </c>
      <c r="C376" s="1">
        <f>(C372-Projections!C9)*Assumptions!C36+(C373-Projections!C14)*Assumptions!C37+C375*(Assumptions!C39+Assumptions!C40)+Projections!C17*$C$371</f>
        <v>-82.062704855970907</v>
      </c>
      <c r="D376" s="1">
        <f>(D372-Projections!D9)*Assumptions!D36+(D373-Projections!D14)*Assumptions!D37+D375*(Assumptions!D39+Assumptions!D40)+Projections!D17*$C$371</f>
        <v>5.992987277160978</v>
      </c>
      <c r="E376" s="1">
        <f>(E372-Projections!E9)*Assumptions!E36+(E373-Projections!E14)*Assumptions!E37+E375*(Assumptions!E39+Assumptions!E40)+Projections!E17*$C$371</f>
        <v>119.28935102377628</v>
      </c>
      <c r="F376" s="1">
        <f>(F372-Projections!F9)*Assumptions!F36+(F373-Projections!F14)*Assumptions!F37+F375*(Assumptions!F39+Assumptions!F40)+Projections!F17*$C$371</f>
        <v>258.2947612759466</v>
      </c>
      <c r="G376" s="1">
        <f>(G372-Projections!G9)*Assumptions!G36+(G373-Projections!G14)*Assumptions!G37+G375*(Assumptions!G39+Assumptions!G40)+Projections!G17*$C$371</f>
        <v>414.37827063856969</v>
      </c>
      <c r="H376" s="1">
        <f>(H372-Projections!H9)*Assumptions!H36+(H373-Projections!H14)*Assumptions!H37+H375*(Assumptions!H39+Assumptions!H40)+Projections!H17*$C$371</f>
        <v>548.36766549337312</v>
      </c>
      <c r="I376" s="1">
        <f>(I372-Projections!I9)*Assumptions!I36+(I373-Projections!I14)*Assumptions!I37+I375*(Assumptions!I39+Assumptions!I40)+Projections!I17*$C$371</f>
        <v>663.48878026075602</v>
      </c>
      <c r="J376" s="1">
        <f>(J372-Projections!J9)*Assumptions!J36+(J373-Projections!J14)*Assumptions!J37+J375*(Assumptions!J39+Assumptions!J40)+Projections!J17*$C$371</f>
        <v>753.70306243292498</v>
      </c>
      <c r="K376" s="1">
        <f>(K372-Projections!K9)*Assumptions!K36+(K373-Projections!K14)*Assumptions!K37+K375*(Assumptions!K39+Assumptions!K40)+Projections!K17*$C$371</f>
        <v>813.42834773493826</v>
      </c>
      <c r="L376" s="1">
        <f>(L372-Projections!L9)*Assumptions!L36+(L373-Projections!L14)*Assumptions!L37+L375*(Assumptions!L39+Assumptions!L40)+Projections!L17*$C$371</f>
        <v>837.83119816698638</v>
      </c>
    </row>
    <row r="377" spans="1:12" hidden="1" outlineLevel="1">
      <c r="A377" s="1" t="s">
        <v>892</v>
      </c>
      <c r="C377" s="1">
        <f>C375*(1-Assumptions!C44-Assumptions!C45+Assumptions!C46)-C376</f>
        <v>613.49378669903592</v>
      </c>
      <c r="D377" s="1">
        <f>D375*(1-Assumptions!D44-Assumptions!D45+Assumptions!D46)-D376</f>
        <v>1191.1342100827683</v>
      </c>
      <c r="E377" s="1">
        <f>E375*(1-Assumptions!E44-Assumptions!E45+Assumptions!E46)-E376</f>
        <v>1861.9073601913794</v>
      </c>
      <c r="F377" s="1">
        <f>F375*(1-Assumptions!F44-Assumptions!F45+Assumptions!F46)-F376</f>
        <v>2609.6983553695973</v>
      </c>
      <c r="G377" s="1">
        <f>G375*(1-Assumptions!G44-Assumptions!G45+Assumptions!G46)-G376</f>
        <v>3435.1286258941968</v>
      </c>
      <c r="H377" s="1">
        <f>H375*(1-Assumptions!H44-Assumptions!H45+Assumptions!H46)-H376</f>
        <v>4203.2434206196167</v>
      </c>
      <c r="I377" s="1">
        <f>I375*(1-Assumptions!I44-Assumptions!I45+Assumptions!I46)-I376</f>
        <v>4870.0778315136586</v>
      </c>
      <c r="J377" s="1">
        <f>J375*(1-Assumptions!J44-Assumptions!J45+Assumptions!J46)-J376</f>
        <v>5401.9780709367606</v>
      </c>
      <c r="K377" s="1">
        <f>K375*(1-Assumptions!K44-Assumptions!K45+Assumptions!K46)-K376</f>
        <v>5767.8590955420805</v>
      </c>
      <c r="L377" s="1">
        <f>L375*(1-Assumptions!L44-Assumptions!L45+Assumptions!L46)-L376</f>
        <v>5940.8948684083443</v>
      </c>
    </row>
    <row r="378" spans="1:12" hidden="1" outlineLevel="1">
      <c r="A378" s="1" t="s">
        <v>893</v>
      </c>
      <c r="C378" s="1">
        <f>C375*(Assumptions!C57/Assumptions!$C$9+Assumptions!C58+Assumptions!C62+Assumptions!C64+Assumptions!C65+Assumptions!C67-Assumptions!C63-Assumptions!C61-Assumptions!C66-Assumptions!C68)+C377*(Assumptions!C59-Assumptions!C60)/Assumptions!$C$9</f>
        <v>-12.503918920067079</v>
      </c>
      <c r="D378" s="1">
        <f>D375*(Assumptions!D57/Assumptions!$C$9+Assumptions!D58+Assumptions!D62+Assumptions!D64+Assumptions!D65+Assumptions!D67-Assumptions!D63-Assumptions!D61-Assumptions!D66-Assumptions!D68)+D377*(Assumptions!D59-Assumptions!D60)/Assumptions!$C$9</f>
        <v>-21.165427181258231</v>
      </c>
      <c r="E378" s="1">
        <f>E375*(Assumptions!E57/Assumptions!$C$9+Assumptions!E58+Assumptions!E62+Assumptions!E64+Assumptions!E65+Assumptions!E67-Assumptions!E63-Assumptions!E61-Assumptions!E66-Assumptions!E68)+E377*(Assumptions!E59-Assumptions!E60)/Assumptions!$C$9</f>
        <v>-31.015568657274208</v>
      </c>
      <c r="F378" s="1">
        <f>F375*(Assumptions!F57/Assumptions!$C$9+Assumptions!F58+Assumptions!F62+Assumptions!F64+Assumptions!F65+Assumptions!F67-Assumptions!F63-Assumptions!F61-Assumptions!F66-Assumptions!F68)+F377*(Assumptions!F59-Assumptions!F60)/Assumptions!$C$9</f>
        <v>-41.757654096828539</v>
      </c>
      <c r="G378" s="1">
        <f>G375*(Assumptions!G57/Assumptions!$C$9+Assumptions!G58+Assumptions!G62+Assumptions!G64+Assumptions!G65+Assumptions!G67-Assumptions!G63-Assumptions!G61-Assumptions!G66-Assumptions!G68)+G377*(Assumptions!G59-Assumptions!G60)/Assumptions!$C$9</f>
        <v>-53.565234473281862</v>
      </c>
      <c r="H378" s="1">
        <f>H375*(Assumptions!H57/Assumptions!$C$9+Assumptions!H58+Assumptions!H62+Assumptions!H64+Assumptions!H65+Assumptions!H67-Assumptions!H63-Assumptions!H61-Assumptions!H66-Assumptions!H68)+H377*(Assumptions!H59-Assumptions!H60)/Assumptions!$C$9</f>
        <v>-64.764791298553263</v>
      </c>
      <c r="I378" s="1">
        <f>I375*(Assumptions!I57/Assumptions!$C$9+Assumptions!I58+Assumptions!I62+Assumptions!I64+Assumptions!I65+Assumptions!I67-Assumptions!I63-Assumptions!I61-Assumptions!I66-Assumptions!I68)+I377*(Assumptions!I59-Assumptions!I60)/Assumptions!$C$9</f>
        <v>-74.510226710872189</v>
      </c>
      <c r="J378" s="1">
        <f>J375*(Assumptions!J57/Assumptions!$C$9+Assumptions!J58+Assumptions!J62+Assumptions!J64+Assumptions!J65+Assumptions!J67-Assumptions!J63-Assumptions!J61-Assumptions!J66-Assumptions!J68)+J377*(Assumptions!J59-Assumptions!J60)/Assumptions!$C$9</f>
        <v>-82.314011318035227</v>
      </c>
      <c r="K378" s="1">
        <f>K375*(Assumptions!K57/Assumptions!$C$9+Assumptions!K58+Assumptions!K62+Assumptions!K64+Assumptions!K65+Assumptions!K67-Assumptions!K63-Assumptions!K61-Assumptions!K66-Assumptions!K68)+K377*(Assumptions!K59-Assumptions!K60)/Assumptions!$C$9</f>
        <v>-87.725913312353953</v>
      </c>
      <c r="L378" s="1">
        <f>L375*(Assumptions!L57/Assumptions!$C$9+Assumptions!L58+Assumptions!L62+Assumptions!L64+Assumptions!L65+Assumptions!L67-Assumptions!L63-Assumptions!L61-Assumptions!L66-Assumptions!L68)+L377*(Assumptions!L59-Assumptions!L60)/Assumptions!$C$9</f>
        <v>-90.357690711724587</v>
      </c>
    </row>
    <row r="379" spans="1:12" hidden="1" outlineLevel="1">
      <c r="A379" s="1" t="s">
        <v>894</v>
      </c>
      <c r="C379" s="1">
        <f>C378</f>
        <v>-12.503918920067079</v>
      </c>
      <c r="D379" s="1">
        <f>D378-C378</f>
        <v>-8.6615082611911518</v>
      </c>
      <c r="E379" s="1">
        <f>E378-D378</f>
        <v>-9.8501414760159776</v>
      </c>
      <c r="F379" s="1">
        <f>F378-E378</f>
        <v>-10.74208543955433</v>
      </c>
      <c r="G379" s="1">
        <f>G378-F378</f>
        <v>-11.807580376453323</v>
      </c>
      <c r="H379" s="1">
        <f>H378-G378</f>
        <v>-11.199556825271401</v>
      </c>
      <c r="I379" s="1">
        <f>I378-H378</f>
        <v>-9.7454354123189262</v>
      </c>
      <c r="J379" s="1">
        <f>J378-I378</f>
        <v>-7.8037846071630383</v>
      </c>
      <c r="K379" s="1">
        <f>K378-J378</f>
        <v>-5.4119019943187254</v>
      </c>
      <c r="L379" s="1">
        <f>L378-K378</f>
        <v>-2.6317773993706339</v>
      </c>
    </row>
    <row r="380" spans="1:12" hidden="1" outlineLevel="1">
      <c r="A380" s="1" t="s">
        <v>895</v>
      </c>
      <c r="C380" s="1">
        <f>C376*(1-Assumptions!C49)</f>
        <v>-68.176349684150068</v>
      </c>
      <c r="D380" s="1">
        <f>D376*(1-Assumptions!D49)</f>
        <v>4.8506938997732547</v>
      </c>
      <c r="E380" s="1">
        <f>E376*(1-Assumptions!E49)</f>
        <v>96.552203526962245</v>
      </c>
      <c r="F380" s="1">
        <f>F376*(1-Assumptions!F49)</f>
        <v>209.06248668996946</v>
      </c>
      <c r="G380" s="1">
        <f>G376*(1-Assumptions!G49)</f>
        <v>335.39569777583387</v>
      </c>
      <c r="H380" s="1">
        <f>H376*(1-Assumptions!H49)</f>
        <v>443.84604318761285</v>
      </c>
      <c r="I380" s="1">
        <f>I376*(1-Assumptions!I49)</f>
        <v>537.02449715586101</v>
      </c>
      <c r="J380" s="1">
        <f>J376*(1-Assumptions!J49)</f>
        <v>610.0434855112419</v>
      </c>
      <c r="K380" s="1">
        <f>K376*(1-Assumptions!K49)</f>
        <v>658.38483243529788</v>
      </c>
      <c r="L380" s="1">
        <f>L376*(1-Assumptions!L49)</f>
        <v>678.13637740835691</v>
      </c>
    </row>
    <row r="381" spans="1:12" hidden="1" outlineLevel="1">
      <c r="A381" s="1" t="s">
        <v>896</v>
      </c>
      <c r="C381" s="1">
        <f>C375*Assumptions!C53</f>
        <v>15.226945171629088</v>
      </c>
      <c r="D381" s="1">
        <f>D375*Assumptions!D53</f>
        <v>34.30094855281471</v>
      </c>
      <c r="E381" s="1">
        <f>E375*Assumptions!E53</f>
        <v>56.766671590341275</v>
      </c>
      <c r="F381" s="1">
        <f>F375*Assumptions!F53</f>
        <v>82.175799330961198</v>
      </c>
      <c r="G381" s="1">
        <f>G375*Assumptions!G53</f>
        <v>110.29883733564201</v>
      </c>
      <c r="H381" s="1">
        <f>H375*Assumptions!H53</f>
        <v>136.146574705831</v>
      </c>
      <c r="I381" s="1">
        <f>I375*Assumptions!I53</f>
        <v>158.55172623480212</v>
      </c>
      <c r="J381" s="1">
        <f>J375*Assumptions!J53</f>
        <v>176.37699847509393</v>
      </c>
      <c r="K381" s="1">
        <f>K375*Assumptions!K53</f>
        <v>188.57177624981981</v>
      </c>
      <c r="L381" s="1">
        <f>L375*Assumptions!L53</f>
        <v>194.22892953731449</v>
      </c>
    </row>
    <row r="382" spans="1:12" hidden="1" outlineLevel="1">
      <c r="A382" s="1" t="s">
        <v>897</v>
      </c>
      <c r="C382" s="1">
        <f>C375*Assumptions!C55</f>
        <v>2.7774388235233296</v>
      </c>
      <c r="D382" s="1">
        <f>D375*Assumptions!D55</f>
        <v>6.2565921871032391</v>
      </c>
      <c r="E382" s="1">
        <f>E375*Assumptions!E55</f>
        <v>10.354405022156156</v>
      </c>
      <c r="F382" s="1">
        <f>F375*Assumptions!F55</f>
        <v>14.989103385039343</v>
      </c>
      <c r="G382" s="1">
        <f>G375*Assumptions!G55</f>
        <v>20.118826826557836</v>
      </c>
      <c r="H382" s="1">
        <f>H375*Assumptions!H55</f>
        <v>24.833528853984724</v>
      </c>
      <c r="I382" s="1">
        <f>I375*Assumptions!I55</f>
        <v>28.920293270752488</v>
      </c>
      <c r="J382" s="1">
        <f>J375*Assumptions!J55</f>
        <v>32.171674463895798</v>
      </c>
      <c r="K382" s="1">
        <f>K375*Assumptions!K55</f>
        <v>34.396037187606808</v>
      </c>
      <c r="L382" s="1">
        <f>L375*Assumptions!L55</f>
        <v>35.427918303235025</v>
      </c>
    </row>
    <row r="383" spans="1:12" hidden="1" outlineLevel="1">
      <c r="A383" s="1" t="s">
        <v>898</v>
      </c>
      <c r="C383" s="1">
        <f>Assumptions!C54</f>
        <v>2.9000000000000001E-2</v>
      </c>
      <c r="D383" s="1">
        <f>Assumptions!D54</f>
        <v>0.03</v>
      </c>
      <c r="E383" s="1">
        <f>Assumptions!E54</f>
        <v>0.03</v>
      </c>
      <c r="F383" s="1">
        <f>Assumptions!F54</f>
        <v>2.9000000000000001E-2</v>
      </c>
      <c r="G383" s="1">
        <f>Assumptions!G54</f>
        <v>2.8000000000000001E-2</v>
      </c>
      <c r="H383" s="1">
        <f>Assumptions!$G$54+($L383-Assumptions!$G$54)*H$33</f>
        <v>3.023542663259824E-2</v>
      </c>
      <c r="I383" s="1">
        <f>Assumptions!$G$54+($L383-Assumptions!$G$54)*I$33</f>
        <v>3.2470853265196484E-2</v>
      </c>
      <c r="J383" s="1">
        <f>Assumptions!$G$54+($L383-Assumptions!$G$54)*J$33</f>
        <v>3.470627989779472E-2</v>
      </c>
      <c r="K383" s="1">
        <f>Assumptions!$G$54+($L383-Assumptions!$G$54)*K$33</f>
        <v>3.6941706530392956E-2</v>
      </c>
      <c r="L383" s="1">
        <f>((DCF!$L$9+L380)*DCF!$C$22/DCF!$C$24+DCF!$L$10+L381-(DCF!$L$12+L379)-(-Projections!$L$122+L382))/(Projections!$L$20+L375)</f>
        <v>3.91771331629912E-2</v>
      </c>
    </row>
    <row r="384" spans="1:12" hidden="1" outlineLevel="1">
      <c r="A384" s="1" t="s">
        <v>899</v>
      </c>
      <c r="C384" s="1">
        <f>DCF!C13+C380+C381-((Projections!C20+C375)*C383+Projections!C121)-C382-C379</f>
        <v>9360.8020149004824</v>
      </c>
      <c r="D384" s="1">
        <f>DCF!D13+D380+D381-((Projections!D20+D375)*D383+Projections!D121)-D382-D379</f>
        <v>11380.831555608342</v>
      </c>
      <c r="E384" s="1">
        <f>DCF!E13+E380+E381-((Projections!E20+E375)*E383+Projections!E121)-E382-E379</f>
        <v>12417.792321036741</v>
      </c>
      <c r="F384" s="1">
        <f>DCF!F13+F380+F381-((Projections!F20+F375)*F383+Projections!F121)-F382-F379</f>
        <v>13528.035233733948</v>
      </c>
      <c r="G384" s="1">
        <f>DCF!G13+G380+G381-((Projections!G20+G375)*G383+Projections!G121)-G382-G379</f>
        <v>14534.845017834994</v>
      </c>
      <c r="H384" s="1">
        <f>DCF!H13+H380+H381-((Projections!H20+H375)*H383+Projections!H121)-H382-H379</f>
        <v>14868.156908982368</v>
      </c>
      <c r="I384" s="1">
        <f>DCF!I13+I380+I381-((Projections!I20+I375)*I383+Projections!I121)-I382-I379</f>
        <v>15141.878639864037</v>
      </c>
      <c r="J384" s="1">
        <f>DCF!J13+J380+J381-((Projections!J20+J375)*J383+Projections!J121)-J382-J379</f>
        <v>15345.749522117001</v>
      </c>
      <c r="K384" s="1">
        <f>DCF!K13+K380+K381-((Projections!K20+K375)*K383+Projections!K121)-K382-K379</f>
        <v>15474.330449111778</v>
      </c>
      <c r="L384" s="1">
        <f>(DCF!$L$9+L380)*(1-DCF!$C$22/DCF!$C$24)</f>
        <v>15523.646262676491</v>
      </c>
    </row>
    <row r="385" spans="1:12" hidden="1" outlineLevel="1">
      <c r="A385" s="1" t="s">
        <v>30</v>
      </c>
      <c r="B385" s="1">
        <f>(SUMPRODUCT(C384:K384,DCF!$C$14:$K$14,DCF!$C$17:$K$17)+L384*DCF!$L$17*(1+(1+DCF!$C$22)/(DCF!$C$21-DCF!$C$22))+DCF!$C$44)/DCF!$C$46</f>
        <v>156.6526756609195</v>
      </c>
    </row>
    <row r="386" spans="1:12" hidden="1" outlineLevel="1"/>
    <row r="387" spans="1:12" hidden="1" outlineLevel="1">
      <c r="A387" s="1" t="s">
        <v>921</v>
      </c>
      <c r="B387" s="35">
        <f>$B$21-Assumptions!$C$28</f>
        <v>2.0000000000000018E-2</v>
      </c>
      <c r="C387" s="35">
        <f>$E$16-Assumptions!$C$38</f>
        <v>0</v>
      </c>
    </row>
    <row r="388" spans="1:12" hidden="1" outlineLevel="1">
      <c r="A388" s="1" t="s">
        <v>887</v>
      </c>
      <c r="C388" s="1">
        <f>Projections!B9*(1+Assumptions!C21+$B$387*C$32)</f>
        <v>14851.851428571434</v>
      </c>
      <c r="D388" s="1">
        <f>C388*(1+Assumptions!D21+$B$387*D$32)</f>
        <v>16337.036571428578</v>
      </c>
      <c r="E388" s="1">
        <f>D388*(1+Assumptions!E21+$B$387*E$32)</f>
        <v>17807.369862857151</v>
      </c>
      <c r="F388" s="1">
        <f>E388*(1+Assumptions!F21+$B$387*F$32)</f>
        <v>19231.959451885723</v>
      </c>
      <c r="G388" s="1">
        <f>F388*(1+Assumptions!G21+$B$387*G$32)</f>
        <v>20578.196613517724</v>
      </c>
      <c r="H388" s="1">
        <f>G388*(1+Assumptions!H21+$B$387*H$32)</f>
        <v>21854.044803555826</v>
      </c>
      <c r="I388" s="1">
        <f>H388*(1+Assumptions!I21+$B$387*I$32)</f>
        <v>23034.163222947842</v>
      </c>
      <c r="J388" s="1">
        <f>I388*(1+Assumptions!J21+$B$387*J$32)</f>
        <v>24093.734731203444</v>
      </c>
      <c r="K388" s="1">
        <f>J388*(1+Assumptions!K21+$B$387*K$32)</f>
        <v>25009.296650989174</v>
      </c>
      <c r="L388" s="1">
        <f>K388*(1+Assumptions!L21+$B$387*L$32)</f>
        <v>25759.57555051885</v>
      </c>
    </row>
    <row r="389" spans="1:12" hidden="1" outlineLevel="1">
      <c r="A389" s="1" t="s">
        <v>888</v>
      </c>
      <c r="C389" s="1">
        <f>Projections!B14*(1+Assumptions!C28+$B$387*C$32)</f>
        <v>19930.00307692308</v>
      </c>
      <c r="D389" s="1">
        <f>C389*(1+Assumptions!D28+$B$387*D$32)</f>
        <v>22720.203507692313</v>
      </c>
      <c r="E389" s="1">
        <f>D389*(1+Assumptions!E28+$B$387*E$32)</f>
        <v>25219.425893538471</v>
      </c>
      <c r="F389" s="1">
        <f>E389*(1+Assumptions!F28+$B$387*F$32)</f>
        <v>27489.174223956936</v>
      </c>
      <c r="G389" s="1">
        <f>F389*(1+Assumptions!G28+$B$387*G$32)</f>
        <v>29688.308161873494</v>
      </c>
      <c r="H389" s="1">
        <f>G389*(1+Assumptions!H28+$B$387*H$32)</f>
        <v>31766.489733204642</v>
      </c>
      <c r="I389" s="1">
        <f>H389*(1+Assumptions!I28+$B$387*I$32)</f>
        <v>33672.479117196919</v>
      </c>
      <c r="J389" s="1">
        <f>I389*(1+Assumptions!J28+$B$387*J$32)</f>
        <v>35356.103073056765</v>
      </c>
      <c r="K389" s="1">
        <f>J389*(1+Assumptions!K28+$B$387*K$32)</f>
        <v>36770.34719597904</v>
      </c>
      <c r="L389" s="1">
        <f>K389*(1+Assumptions!L28+$B$387*L$32)</f>
        <v>37873.457611858415</v>
      </c>
    </row>
    <row r="390" spans="1:12" hidden="1" outlineLevel="1">
      <c r="A390" s="1" t="s">
        <v>889</v>
      </c>
      <c r="C390" s="1">
        <f>(C388-Projections!C9)+(C389-Projections!C14)</f>
        <v>604.45582417582409</v>
      </c>
      <c r="D390" s="1">
        <f>(D388-Projections!D9)+(D389-Projections!D14)</f>
        <v>1361.6262417582439</v>
      </c>
      <c r="E390" s="1">
        <f>(E388-Projections!E9)+(E389-Projections!E14)</f>
        <v>2253.4359239560472</v>
      </c>
      <c r="F390" s="1">
        <f>(F388-Projections!F9)+(F389-Projections!F14)</f>
        <v>3262.0883540351679</v>
      </c>
      <c r="G390" s="1">
        <f>(G388-Projections!G9)+(G389-Projections!G14)</f>
        <v>4378.4734151123048</v>
      </c>
      <c r="H390" s="1">
        <f>(H388-Projections!H9)+(H389-Projections!H14)</f>
        <v>5404.5370949295939</v>
      </c>
      <c r="I390" s="1">
        <f>(I388-Projections!I9)+(I389-Projections!I14)</f>
        <v>6293.9423026439872</v>
      </c>
      <c r="J390" s="1">
        <f>(J388-Projections!J9)+(J389-Projections!J14)</f>
        <v>7001.5425140927873</v>
      </c>
      <c r="K390" s="1">
        <f>(K388-Projections!K9)+(K389-Projections!K14)</f>
        <v>7485.6320256382169</v>
      </c>
      <c r="L390" s="1">
        <f>(L388-Projections!L9)+(L389-Projections!L14)</f>
        <v>7710.2009864073661</v>
      </c>
    </row>
    <row r="391" spans="1:12" hidden="1" outlineLevel="1">
      <c r="A391" s="1" t="s">
        <v>890</v>
      </c>
      <c r="C391" s="1">
        <f>C390*(1+Assumptions!C32)</f>
        <v>587.86624097684194</v>
      </c>
      <c r="D391" s="1">
        <f>D390*(1+Assumptions!D32)</f>
        <v>1324.2557492919573</v>
      </c>
      <c r="E391" s="1">
        <f>E390*(1+Assumptions!E32)</f>
        <v>2191.5892823176505</v>
      </c>
      <c r="F391" s="1">
        <f>F390*(1+Assumptions!F32)</f>
        <v>3172.5587573512657</v>
      </c>
      <c r="G391" s="1">
        <f>G390*(1+Assumptions!G32)</f>
        <v>4258.3040890849188</v>
      </c>
      <c r="H391" s="1">
        <f>H390*(1+Assumptions!H32)</f>
        <v>5256.2069536648123</v>
      </c>
      <c r="I391" s="1">
        <f>I390*(1+Assumptions!I32)</f>
        <v>6121.2020041752385</v>
      </c>
      <c r="J391" s="1">
        <f>J390*(1+Assumptions!J32)</f>
        <v>6809.3817847009796</v>
      </c>
      <c r="K391" s="1">
        <f>K390*(1+Assumptions!K32)</f>
        <v>7280.1852248639589</v>
      </c>
      <c r="L391" s="1">
        <f>L390*(1+Assumptions!L32)</f>
        <v>7498.5907816098807</v>
      </c>
    </row>
    <row r="392" spans="1:12" hidden="1" outlineLevel="1">
      <c r="A392" s="1" t="s">
        <v>891</v>
      </c>
      <c r="C392" s="1">
        <f>(C388-Projections!C9)*Assumptions!C36+(C389-Projections!C14)*Assumptions!C37+C391*(Assumptions!C39+Assumptions!C40)+Projections!C17*$C$387</f>
        <v>74.978095144029254</v>
      </c>
      <c r="D392" s="1">
        <f>(D388-Projections!D9)*Assumptions!D36+(D389-Projections!D14)*Assumptions!D37+D391*(Assumptions!D39+Assumptions!D40)+Projections!D17*$C$387</f>
        <v>174.02664327716118</v>
      </c>
      <c r="E392" s="1">
        <f>(E388-Projections!E9)*Assumptions!E36+(E389-Projections!E14)*Assumptions!E37+E391*(Assumptions!E39+Assumptions!E40)+Projections!E17*$C$387</f>
        <v>297.40502638377649</v>
      </c>
      <c r="F392" s="1">
        <f>(F388-Projections!F9)*Assumptions!F36+(F389-Projections!F14)*Assumptions!F37+F391*(Assumptions!F39+Assumptions!F40)+Projections!F17*$C$387</f>
        <v>445.31622040394683</v>
      </c>
      <c r="G392" s="1">
        <f>(G388-Projections!G9)*Assumptions!G36+(G389-Projections!G14)*Assumptions!G37+G391*(Assumptions!G39+Assumptions!G40)+Projections!G17*$C$387</f>
        <v>608.88058813168993</v>
      </c>
      <c r="H392" s="1">
        <f>(H388-Projections!H9)*Assumptions!H36+(H389-Projections!H14)*Assumptions!H37+H391*(Assumptions!H39+Assumptions!H40)+Projections!H17*$C$387</f>
        <v>750.26107105123197</v>
      </c>
      <c r="I392" s="1">
        <f>(I388-Projections!I9)*Assumptions!I36+(I389-Projections!I14)*Assumptions!I37+I391*(Assumptions!I39+Assumptions!I40)+Projections!I17*$C$387</f>
        <v>872.65034841869772</v>
      </c>
      <c r="J392" s="1">
        <f>(J388-Projections!J9)*Assumptions!J36+(J389-Projections!J14)*Assumptions!J37+J391*(Assumptions!J39+Assumptions!J40)+Projections!J17*$C$387</f>
        <v>969.97612390823679</v>
      </c>
      <c r="K392" s="1">
        <f>(K388-Projections!K9)*Assumptions!K36+(K389-Projections!K14)*Assumptions!K37+K391*(Assumptions!K39+Assumptions!K40)+Projections!K17*$C$387</f>
        <v>1036.62214717746</v>
      </c>
      <c r="L392" s="1">
        <f>(L388-Projections!L9)*Assumptions!L36+(L389-Projections!L14)*Assumptions!L37+L391*(Assumptions!L39+Assumptions!L40)+Projections!L17*$C$387</f>
        <v>1067.7208115927838</v>
      </c>
    </row>
    <row r="393" spans="1:12" hidden="1" outlineLevel="1">
      <c r="A393" s="1" t="s">
        <v>892</v>
      </c>
      <c r="C393" s="1">
        <f>C391*(1-Assumptions!C44-Assumptions!C45+Assumptions!C46)-C392</f>
        <v>456.45298669903582</v>
      </c>
      <c r="D393" s="1">
        <f>D391*(1-Assumptions!D44-Assumptions!D45+Assumptions!D46)-D392</f>
        <v>1023.1005540827682</v>
      </c>
      <c r="E393" s="1">
        <f>E391*(1-Assumptions!E44-Assumptions!E45+Assumptions!E46)-E392</f>
        <v>1683.7916848313794</v>
      </c>
      <c r="F393" s="1">
        <f>F391*(1-Assumptions!F44-Assumptions!F45+Assumptions!F46)-F392</f>
        <v>2422.6768962415972</v>
      </c>
      <c r="G393" s="1">
        <f>G391*(1-Assumptions!G44-Assumptions!G45+Assumptions!G46)-G392</f>
        <v>3240.6263084010766</v>
      </c>
      <c r="H393" s="1">
        <f>H391*(1-Assumptions!H44-Assumptions!H45+Assumptions!H46)-H392</f>
        <v>4001.3500150617583</v>
      </c>
      <c r="I393" s="1">
        <f>I391*(1-Assumptions!I44-Assumptions!I45+Assumptions!I46)-I392</f>
        <v>4660.9162633557171</v>
      </c>
      <c r="J393" s="1">
        <f>J391*(1-Assumptions!J44-Assumptions!J45+Assumptions!J46)-J392</f>
        <v>5185.7050094614478</v>
      </c>
      <c r="K393" s="1">
        <f>K391*(1-Assumptions!K44-Assumptions!K45+Assumptions!K46)-K392</f>
        <v>5544.6652960995589</v>
      </c>
      <c r="L393" s="1">
        <f>L391*(1-Assumptions!L44-Assumptions!L45+Assumptions!L46)-L392</f>
        <v>5711.0052549825468</v>
      </c>
    </row>
    <row r="394" spans="1:12" hidden="1" outlineLevel="1">
      <c r="A394" s="1" t="s">
        <v>893</v>
      </c>
      <c r="C394" s="1">
        <f>C391*(Assumptions!C57/Assumptions!$C$9+Assumptions!C58+Assumptions!C62+Assumptions!C64+Assumptions!C65+Assumptions!C67-Assumptions!C63-Assumptions!C61-Assumptions!C66-Assumptions!C68)+C393*(Assumptions!C59-Assumptions!C60)/Assumptions!$C$9</f>
        <v>-6.7427795273194668</v>
      </c>
      <c r="D394" s="1">
        <f>D391*(Assumptions!D57/Assumptions!$C$9+Assumptions!D58+Assumptions!D62+Assumptions!D64+Assumptions!D65+Assumptions!D67-Assumptions!D63-Assumptions!D61-Assumptions!D66-Assumptions!D68)+D393*(Assumptions!D59-Assumptions!D60)/Assumptions!$C$9</f>
        <v>-15.001008031018287</v>
      </c>
      <c r="E394" s="1">
        <f>E391*(Assumptions!E57/Assumptions!$C$9+Assumptions!E58+Assumptions!E62+Assumptions!E64+Assumptions!E65+Assumptions!E67-Assumptions!E63-Assumptions!E61-Assumptions!E66-Assumptions!E68)+E393*(Assumptions!E59-Assumptions!E60)/Assumptions!$C$9</f>
        <v>-24.481284358019877</v>
      </c>
      <c r="F394" s="1">
        <f>F391*(Assumptions!F57/Assumptions!$C$9+Assumptions!F58+Assumptions!F62+Assumptions!F64+Assumptions!F65+Assumptions!F67-Assumptions!F63-Assumptions!F61-Assumptions!F66-Assumptions!F68)+F393*(Assumptions!F59-Assumptions!F60)/Assumptions!$C$9</f>
        <v>-34.89665558261148</v>
      </c>
      <c r="G394" s="1">
        <f>G391*(Assumptions!G57/Assumptions!$C$9+Assumptions!G58+Assumptions!G62+Assumptions!G64+Assumptions!G65+Assumptions!G67-Assumptions!G63-Assumptions!G61-Assumptions!G66-Assumptions!G68)+G393*(Assumptions!G59-Assumptions!G60)/Assumptions!$C$9</f>
        <v>-46.429796018496106</v>
      </c>
      <c r="H394" s="1">
        <f>H391*(Assumptions!H57/Assumptions!$C$9+Assumptions!H58+Assumptions!H62+Assumptions!H64+Assumptions!H65+Assumptions!H67-Assumptions!H63-Assumptions!H61-Assumptions!H66-Assumptions!H68)+H393*(Assumptions!H59-Assumptions!H60)/Assumptions!$C$9</f>
        <v>-57.358206182485674</v>
      </c>
      <c r="I394" s="1">
        <f>I391*(Assumptions!I57/Assumptions!$C$9+Assumptions!I58+Assumptions!I62+Assumptions!I64+Assumptions!I65+Assumptions!I67-Assumptions!I63-Assumptions!I61-Assumptions!I66-Assumptions!I68)+I393*(Assumptions!I59-Assumptions!I60)/Assumptions!$C$9</f>
        <v>-66.83700453062616</v>
      </c>
      <c r="J394" s="1">
        <f>J391*(Assumptions!J57/Assumptions!$C$9+Assumptions!J58+Assumptions!J62+Assumptions!J64+Assumptions!J65+Assumptions!J67-Assumptions!J63-Assumptions!J61-Assumptions!J66-Assumptions!J68)+J393*(Assumptions!J59-Assumptions!J60)/Assumptions!$C$9</f>
        <v>-74.379899583660773</v>
      </c>
      <c r="K394" s="1">
        <f>K391*(Assumptions!K57/Assumptions!$C$9+Assumptions!K58+Assumptions!K62+Assumptions!K64+Assumptions!K65+Assumptions!K67-Assumptions!K63-Assumptions!K61-Assumptions!K66-Assumptions!K68)+K393*(Assumptions!K59-Assumptions!K60)/Assumptions!$C$9</f>
        <v>-79.537910002479578</v>
      </c>
      <c r="L394" s="1">
        <f>L391*(Assumptions!L57/Assumptions!$C$9+Assumptions!L58+Assumptions!L62+Assumptions!L64+Assumptions!L65+Assumptions!L67-Assumptions!L63-Assumptions!L61-Assumptions!L66-Assumptions!L68)+L393*(Assumptions!L59-Assumptions!L60)/Assumptions!$C$9</f>
        <v>-81.92404730255393</v>
      </c>
    </row>
    <row r="395" spans="1:12" hidden="1" outlineLevel="1">
      <c r="A395" s="1" t="s">
        <v>894</v>
      </c>
      <c r="C395" s="1">
        <f>C394</f>
        <v>-6.7427795273194668</v>
      </c>
      <c r="D395" s="1">
        <f>D394-C394</f>
        <v>-8.2582285036988203</v>
      </c>
      <c r="E395" s="1">
        <f>E394-D394</f>
        <v>-9.4802763270015902</v>
      </c>
      <c r="F395" s="1">
        <f>F394-E394</f>
        <v>-10.415371224591603</v>
      </c>
      <c r="G395" s="1">
        <f>G394-F394</f>
        <v>-11.533140435884626</v>
      </c>
      <c r="H395" s="1">
        <f>H394-G394</f>
        <v>-10.928410163989568</v>
      </c>
      <c r="I395" s="1">
        <f>I394-H394</f>
        <v>-9.4787983481404865</v>
      </c>
      <c r="J395" s="1">
        <f>J394-I394</f>
        <v>-7.5428950530346128</v>
      </c>
      <c r="K395" s="1">
        <f>K394-J394</f>
        <v>-5.1580104188188045</v>
      </c>
      <c r="L395" s="1">
        <f>L394-K394</f>
        <v>-2.3861373000743527</v>
      </c>
    </row>
    <row r="396" spans="1:12" hidden="1" outlineLevel="1">
      <c r="A396" s="1" t="s">
        <v>895</v>
      </c>
      <c r="C396" s="1">
        <f>C392*(1-Assumptions!C49)</f>
        <v>62.290572095600155</v>
      </c>
      <c r="D396" s="1">
        <f>D392*(1-Assumptions!D49)</f>
        <v>140.85629384857234</v>
      </c>
      <c r="E396" s="1">
        <f>E392*(1-Assumptions!E49)</f>
        <v>240.71813947268924</v>
      </c>
      <c r="F396" s="1">
        <f>F392*(1-Assumptions!F49)</f>
        <v>360.43671943298284</v>
      </c>
      <c r="G396" s="1">
        <f>G392*(1-Assumptions!G49)</f>
        <v>492.82489982856777</v>
      </c>
      <c r="H396" s="1">
        <f>H392*(1-Assumptions!H49)</f>
        <v>607.25755491835071</v>
      </c>
      <c r="I396" s="1">
        <f>I392*(1-Assumptions!I49)</f>
        <v>706.31882330890528</v>
      </c>
      <c r="J396" s="1">
        <f>J392*(1-Assumptions!J49)</f>
        <v>785.09381875348981</v>
      </c>
      <c r="K396" s="1">
        <f>K392*(1-Assumptions!K49)</f>
        <v>839.0367763412977</v>
      </c>
      <c r="L396" s="1">
        <f>L392*(1-Assumptions!L49)</f>
        <v>864.20787963153668</v>
      </c>
    </row>
    <row r="397" spans="1:12" hidden="1" outlineLevel="1">
      <c r="A397" s="1" t="s">
        <v>896</v>
      </c>
      <c r="C397" s="1">
        <f>C391*Assumptions!C53</f>
        <v>15.226945171629088</v>
      </c>
      <c r="D397" s="1">
        <f>D391*Assumptions!D53</f>
        <v>34.30094855281471</v>
      </c>
      <c r="E397" s="1">
        <f>E391*Assumptions!E53</f>
        <v>56.766671590341275</v>
      </c>
      <c r="F397" s="1">
        <f>F391*Assumptions!F53</f>
        <v>82.175799330961198</v>
      </c>
      <c r="G397" s="1">
        <f>G391*Assumptions!G53</f>
        <v>110.29883733564201</v>
      </c>
      <c r="H397" s="1">
        <f>H391*Assumptions!H53</f>
        <v>136.146574705831</v>
      </c>
      <c r="I397" s="1">
        <f>I391*Assumptions!I53</f>
        <v>158.55172623480212</v>
      </c>
      <c r="J397" s="1">
        <f>J391*Assumptions!J53</f>
        <v>176.37699847509393</v>
      </c>
      <c r="K397" s="1">
        <f>K391*Assumptions!K53</f>
        <v>188.57177624981981</v>
      </c>
      <c r="L397" s="1">
        <f>L391*Assumptions!L53</f>
        <v>194.22892953731449</v>
      </c>
    </row>
    <row r="398" spans="1:12" hidden="1" outlineLevel="1">
      <c r="A398" s="1" t="s">
        <v>897</v>
      </c>
      <c r="C398" s="1">
        <f>C391*Assumptions!C55</f>
        <v>2.7774388235233296</v>
      </c>
      <c r="D398" s="1">
        <f>D391*Assumptions!D55</f>
        <v>6.2565921871032391</v>
      </c>
      <c r="E398" s="1">
        <f>E391*Assumptions!E55</f>
        <v>10.354405022156156</v>
      </c>
      <c r="F398" s="1">
        <f>F391*Assumptions!F55</f>
        <v>14.989103385039343</v>
      </c>
      <c r="G398" s="1">
        <f>G391*Assumptions!G55</f>
        <v>20.118826826557836</v>
      </c>
      <c r="H398" s="1">
        <f>H391*Assumptions!H55</f>
        <v>24.833528853984724</v>
      </c>
      <c r="I398" s="1">
        <f>I391*Assumptions!I55</f>
        <v>28.920293270752488</v>
      </c>
      <c r="J398" s="1">
        <f>J391*Assumptions!J55</f>
        <v>32.171674463895798</v>
      </c>
      <c r="K398" s="1">
        <f>K391*Assumptions!K55</f>
        <v>34.396037187606808</v>
      </c>
      <c r="L398" s="1">
        <f>L391*Assumptions!L55</f>
        <v>35.427918303235025</v>
      </c>
    </row>
    <row r="399" spans="1:12" hidden="1" outlineLevel="1">
      <c r="A399" s="1" t="s">
        <v>898</v>
      </c>
      <c r="C399" s="1">
        <f>Assumptions!C54</f>
        <v>2.9000000000000001E-2</v>
      </c>
      <c r="D399" s="1">
        <f>Assumptions!D54</f>
        <v>0.03</v>
      </c>
      <c r="E399" s="1">
        <f>Assumptions!E54</f>
        <v>0.03</v>
      </c>
      <c r="F399" s="1">
        <f>Assumptions!F54</f>
        <v>2.9000000000000001E-2</v>
      </c>
      <c r="G399" s="1">
        <f>Assumptions!G54</f>
        <v>2.8000000000000001E-2</v>
      </c>
      <c r="H399" s="1">
        <f>Assumptions!$G$54+($L399-Assumptions!$G$54)*H$33</f>
        <v>3.0271248939798785E-2</v>
      </c>
      <c r="I399" s="1">
        <f>Assumptions!$G$54+($L399-Assumptions!$G$54)*I$33</f>
        <v>3.2542497879597565E-2</v>
      </c>
      <c r="J399" s="1">
        <f>Assumptions!$G$54+($L399-Assumptions!$G$54)*J$33</f>
        <v>3.4813746819396349E-2</v>
      </c>
      <c r="K399" s="1">
        <f>Assumptions!$G$54+($L399-Assumptions!$G$54)*K$33</f>
        <v>3.7084995759195133E-2</v>
      </c>
      <c r="L399" s="1">
        <f>((DCF!$L$9+L396)*DCF!$C$22/DCF!$C$24+DCF!$L$10+L397-(DCF!$L$12+L395)-(-Projections!$L$122+L398))/(Projections!$L$20+L391)</f>
        <v>3.9356244698993917E-2</v>
      </c>
    </row>
    <row r="400" spans="1:12" hidden="1" outlineLevel="1">
      <c r="A400" s="1" t="s">
        <v>899</v>
      </c>
      <c r="C400" s="1">
        <f>DCF!C13+C396+C397-((Projections!C20+C391)*C399+Projections!C121)-C398-C395</f>
        <v>9485.5077972874878</v>
      </c>
      <c r="D400" s="1">
        <f>DCF!D13+D396+D397-((Projections!D20+D391)*D399+Projections!D121)-D398-D395</f>
        <v>11516.433875799648</v>
      </c>
      <c r="E400" s="1">
        <f>DCF!E13+E396+E397-((Projections!E20+E391)*E399+Projections!E121)-E398-E395</f>
        <v>12561.588391833453</v>
      </c>
      <c r="F400" s="1">
        <f>DCF!F13+F396+F397-((Projections!F20+F391)*F399+Projections!F121)-F398-F395</f>
        <v>13679.082752261998</v>
      </c>
      <c r="G400" s="1">
        <f>DCF!G13+G396+G397-((Projections!G20+G391)*G399+Projections!G121)-G398-G395</f>
        <v>14691.999779947157</v>
      </c>
      <c r="H400" s="1">
        <f>DCF!H13+H396+H397-((Projections!H20+H391)*H399+Projections!H121)-H398-H395</f>
        <v>15026.488593434375</v>
      </c>
      <c r="I400" s="1">
        <f>DCF!I13+I396+I397-((Projections!I20+I391)*I399+Projections!I121)-I398-I395</f>
        <v>15300.857305878084</v>
      </c>
      <c r="J400" s="1">
        <f>DCF!J13+J396+J397-((Projections!J20+J391)*J399+Projections!J121)-J398-J395</f>
        <v>15504.862620715146</v>
      </c>
      <c r="K400" s="1">
        <f>DCF!K13+K396+K397-((Projections!K20+K391)*K399+Projections!K121)-K398-K395</f>
        <v>15633.094751313787</v>
      </c>
      <c r="L400" s="1">
        <f>(DCF!$L$9+L396)*(1-DCF!$C$22/DCF!$C$24)</f>
        <v>15681.618671509939</v>
      </c>
    </row>
    <row r="401" spans="1:12" hidden="1" outlineLevel="1">
      <c r="A401" s="1" t="s">
        <v>30</v>
      </c>
      <c r="B401" s="1">
        <f>(SUMPRODUCT(C400:K400,DCF!$C$14:$K$14,DCF!$C$17:$K$17)+L400*DCF!$L$17*(1+(1+DCF!$C$22)/(DCF!$C$21-DCF!$C$22))+DCF!$C$44)/DCF!$C$46</f>
        <v>158.5180414922728</v>
      </c>
    </row>
    <row r="402" spans="1:12" hidden="1" outlineLevel="1"/>
    <row r="403" spans="1:12" hidden="1" outlineLevel="1">
      <c r="A403" s="1" t="s">
        <v>922</v>
      </c>
      <c r="B403" s="35">
        <f>$B$21-Assumptions!$C$28</f>
        <v>2.0000000000000018E-2</v>
      </c>
      <c r="C403" s="35">
        <f>$F$16-Assumptions!$C$38</f>
        <v>5.0000000000000044E-3</v>
      </c>
    </row>
    <row r="404" spans="1:12" hidden="1" outlineLevel="1">
      <c r="A404" s="1" t="s">
        <v>887</v>
      </c>
      <c r="C404" s="1">
        <f>Projections!B9*(1+Assumptions!C21+$B$403*C$32)</f>
        <v>14851.851428571434</v>
      </c>
      <c r="D404" s="1">
        <f>C404*(1+Assumptions!D21+$B$403*D$32)</f>
        <v>16337.036571428578</v>
      </c>
      <c r="E404" s="1">
        <f>D404*(1+Assumptions!E21+$B$403*E$32)</f>
        <v>17807.369862857151</v>
      </c>
      <c r="F404" s="1">
        <f>E404*(1+Assumptions!F21+$B$403*F$32)</f>
        <v>19231.959451885723</v>
      </c>
      <c r="G404" s="1">
        <f>F404*(1+Assumptions!G21+$B$403*G$32)</f>
        <v>20578.196613517724</v>
      </c>
      <c r="H404" s="1">
        <f>G404*(1+Assumptions!H21+$B$403*H$32)</f>
        <v>21854.044803555826</v>
      </c>
      <c r="I404" s="1">
        <f>H404*(1+Assumptions!I21+$B$403*I$32)</f>
        <v>23034.163222947842</v>
      </c>
      <c r="J404" s="1">
        <f>I404*(1+Assumptions!J21+$B$403*J$32)</f>
        <v>24093.734731203444</v>
      </c>
      <c r="K404" s="1">
        <f>J404*(1+Assumptions!K21+$B$403*K$32)</f>
        <v>25009.296650989174</v>
      </c>
      <c r="L404" s="1">
        <f>K404*(1+Assumptions!L21+$B$403*L$32)</f>
        <v>25759.57555051885</v>
      </c>
    </row>
    <row r="405" spans="1:12" hidden="1" outlineLevel="1">
      <c r="A405" s="1" t="s">
        <v>888</v>
      </c>
      <c r="C405" s="1">
        <f>Projections!B14*(1+Assumptions!C28+$B$403*C$32)</f>
        <v>19930.00307692308</v>
      </c>
      <c r="D405" s="1">
        <f>C405*(1+Assumptions!D28+$B$403*D$32)</f>
        <v>22720.203507692313</v>
      </c>
      <c r="E405" s="1">
        <f>D405*(1+Assumptions!E28+$B$403*E$32)</f>
        <v>25219.425893538471</v>
      </c>
      <c r="F405" s="1">
        <f>E405*(1+Assumptions!F28+$B$403*F$32)</f>
        <v>27489.174223956936</v>
      </c>
      <c r="G405" s="1">
        <f>F405*(1+Assumptions!G28+$B$403*G$32)</f>
        <v>29688.308161873494</v>
      </c>
      <c r="H405" s="1">
        <f>G405*(1+Assumptions!H28+$B$403*H$32)</f>
        <v>31766.489733204642</v>
      </c>
      <c r="I405" s="1">
        <f>H405*(1+Assumptions!I28+$B$403*I$32)</f>
        <v>33672.479117196919</v>
      </c>
      <c r="J405" s="1">
        <f>I405*(1+Assumptions!J28+$B$403*J$32)</f>
        <v>35356.103073056765</v>
      </c>
      <c r="K405" s="1">
        <f>J405*(1+Assumptions!K28+$B$403*K$32)</f>
        <v>36770.34719597904</v>
      </c>
      <c r="L405" s="1">
        <f>K405*(1+Assumptions!L28+$B$403*L$32)</f>
        <v>37873.457611858415</v>
      </c>
    </row>
    <row r="406" spans="1:12" hidden="1" outlineLevel="1">
      <c r="A406" s="1" t="s">
        <v>889</v>
      </c>
      <c r="C406" s="1">
        <f>(C404-Projections!C9)+(C405-Projections!C14)</f>
        <v>604.45582417582409</v>
      </c>
      <c r="D406" s="1">
        <f>(D404-Projections!D9)+(D405-Projections!D14)</f>
        <v>1361.6262417582439</v>
      </c>
      <c r="E406" s="1">
        <f>(E404-Projections!E9)+(E405-Projections!E14)</f>
        <v>2253.4359239560472</v>
      </c>
      <c r="F406" s="1">
        <f>(F404-Projections!F9)+(F405-Projections!F14)</f>
        <v>3262.0883540351679</v>
      </c>
      <c r="G406" s="1">
        <f>(G404-Projections!G9)+(G405-Projections!G14)</f>
        <v>4378.4734151123048</v>
      </c>
      <c r="H406" s="1">
        <f>(H404-Projections!H9)+(H405-Projections!H14)</f>
        <v>5404.5370949295939</v>
      </c>
      <c r="I406" s="1">
        <f>(I404-Projections!I9)+(I405-Projections!I14)</f>
        <v>6293.9423026439872</v>
      </c>
      <c r="J406" s="1">
        <f>(J404-Projections!J9)+(J405-Projections!J14)</f>
        <v>7001.5425140927873</v>
      </c>
      <c r="K406" s="1">
        <f>(K404-Projections!K9)+(K405-Projections!K14)</f>
        <v>7485.6320256382169</v>
      </c>
      <c r="L406" s="1">
        <f>(L404-Projections!L9)+(L405-Projections!L14)</f>
        <v>7710.2009864073661</v>
      </c>
    </row>
    <row r="407" spans="1:12" hidden="1" outlineLevel="1">
      <c r="A407" s="1" t="s">
        <v>890</v>
      </c>
      <c r="C407" s="1">
        <f>C406*(1+Assumptions!C32)</f>
        <v>587.86624097684194</v>
      </c>
      <c r="D407" s="1">
        <f>D406*(1+Assumptions!D32)</f>
        <v>1324.2557492919573</v>
      </c>
      <c r="E407" s="1">
        <f>E406*(1+Assumptions!E32)</f>
        <v>2191.5892823176505</v>
      </c>
      <c r="F407" s="1">
        <f>F406*(1+Assumptions!F32)</f>
        <v>3172.5587573512657</v>
      </c>
      <c r="G407" s="1">
        <f>G406*(1+Assumptions!G32)</f>
        <v>4258.3040890849188</v>
      </c>
      <c r="H407" s="1">
        <f>H406*(1+Assumptions!H32)</f>
        <v>5256.2069536648123</v>
      </c>
      <c r="I407" s="1">
        <f>I406*(1+Assumptions!I32)</f>
        <v>6121.2020041752385</v>
      </c>
      <c r="J407" s="1">
        <f>J406*(1+Assumptions!J32)</f>
        <v>6809.3817847009796</v>
      </c>
      <c r="K407" s="1">
        <f>K406*(1+Assumptions!K32)</f>
        <v>7280.1852248639589</v>
      </c>
      <c r="L407" s="1">
        <f>L406*(1+Assumptions!L32)</f>
        <v>7498.5907816098807</v>
      </c>
    </row>
    <row r="408" spans="1:12" hidden="1" outlineLevel="1">
      <c r="A408" s="1" t="s">
        <v>891</v>
      </c>
      <c r="C408" s="1">
        <f>(C404-Projections!C9)*Assumptions!C36+(C405-Projections!C14)*Assumptions!C37+C407*(Assumptions!C39+Assumptions!C40)+Projections!C17*$C$403</f>
        <v>232.01889514402941</v>
      </c>
      <c r="D408" s="1">
        <f>(D404-Projections!D9)*Assumptions!D36+(D405-Projections!D14)*Assumptions!D37+D407*(Assumptions!D39+Assumptions!D40)+Projections!D17*$C$403</f>
        <v>342.06029927716139</v>
      </c>
      <c r="E408" s="1">
        <f>(E404-Projections!E9)*Assumptions!E36+(E405-Projections!E14)*Assumptions!E37+E407*(Assumptions!E39+Assumptions!E40)+Projections!E17*$C$403</f>
        <v>475.52070174377673</v>
      </c>
      <c r="F408" s="1">
        <f>(F404-Projections!F9)*Assumptions!F36+(F405-Projections!F14)*Assumptions!F37+F407*(Assumptions!F39+Assumptions!F40)+Projections!F17*$C$403</f>
        <v>632.33767953194706</v>
      </c>
      <c r="G408" s="1">
        <f>(G404-Projections!G9)*Assumptions!G36+(G405-Projections!G14)*Assumptions!G37+G407*(Assumptions!G39+Assumptions!G40)+Projections!G17*$C$403</f>
        <v>803.38290562481018</v>
      </c>
      <c r="H408" s="1">
        <f>(H404-Projections!H9)*Assumptions!H36+(H405-Projections!H14)*Assumptions!H37+H407*(Assumptions!H39+Assumptions!H40)+Projections!H17*$C$403</f>
        <v>952.15447660909081</v>
      </c>
      <c r="I408" s="1">
        <f>(I404-Projections!I9)*Assumptions!I36+(I405-Projections!I14)*Assumptions!I37+I407*(Assumptions!I39+Assumptions!I40)+Projections!I17*$C$403</f>
        <v>1081.8119165766395</v>
      </c>
      <c r="J408" s="1">
        <f>(J404-Projections!J9)*Assumptions!J36+(J405-Projections!J14)*Assumptions!J37+J407*(Assumptions!J39+Assumptions!J40)+Projections!J17*$C$403</f>
        <v>1186.2491853835486</v>
      </c>
      <c r="K408" s="1">
        <f>(K404-Projections!K9)*Assumptions!K36+(K405-Projections!K14)*Assumptions!K37+K407*(Assumptions!K39+Assumptions!K40)+Projections!K17*$C$403</f>
        <v>1259.8159466199818</v>
      </c>
      <c r="L408" s="1">
        <f>(L404-Projections!L9)*Assumptions!L36+(L405-Projections!L14)*Assumptions!L37+L407*(Assumptions!L39+Assumptions!L40)+Projections!L17*$C$403</f>
        <v>1297.6104250185813</v>
      </c>
    </row>
    <row r="409" spans="1:12" hidden="1" outlineLevel="1">
      <c r="A409" s="1" t="s">
        <v>892</v>
      </c>
      <c r="C409" s="1">
        <f>C407*(1-Assumptions!C44-Assumptions!C45+Assumptions!C46)-C408</f>
        <v>299.4121866990356</v>
      </c>
      <c r="D409" s="1">
        <f>D407*(1-Assumptions!D44-Assumptions!D45+Assumptions!D46)-D408</f>
        <v>855.06689808276792</v>
      </c>
      <c r="E409" s="1">
        <f>E407*(1-Assumptions!E44-Assumptions!E45+Assumptions!E46)-E408</f>
        <v>1505.6760094713791</v>
      </c>
      <c r="F409" s="1">
        <f>F407*(1-Assumptions!F44-Assumptions!F45+Assumptions!F46)-F408</f>
        <v>2235.6554371135971</v>
      </c>
      <c r="G409" s="1">
        <f>G407*(1-Assumptions!G44-Assumptions!G45+Assumptions!G46)-G408</f>
        <v>3046.1239909079563</v>
      </c>
      <c r="H409" s="1">
        <f>H407*(1-Assumptions!H44-Assumptions!H45+Assumptions!H46)-H408</f>
        <v>3799.456609503899</v>
      </c>
      <c r="I409" s="1">
        <f>I407*(1-Assumptions!I44-Assumptions!I45+Assumptions!I46)-I408</f>
        <v>4451.7546951977756</v>
      </c>
      <c r="J409" s="1">
        <f>J407*(1-Assumptions!J44-Assumptions!J45+Assumptions!J46)-J408</f>
        <v>4969.4319479861369</v>
      </c>
      <c r="K409" s="1">
        <f>K407*(1-Assumptions!K44-Assumptions!K45+Assumptions!K46)-K408</f>
        <v>5321.4714966570373</v>
      </c>
      <c r="L409" s="1">
        <f>L407*(1-Assumptions!L44-Assumptions!L45+Assumptions!L46)-L408</f>
        <v>5481.1156415567493</v>
      </c>
    </row>
    <row r="410" spans="1:12" hidden="1" outlineLevel="1">
      <c r="A410" s="1" t="s">
        <v>893</v>
      </c>
      <c r="C410" s="1">
        <f>C407*(Assumptions!C57/Assumptions!$C$9+Assumptions!C58+Assumptions!C62+Assumptions!C64+Assumptions!C65+Assumptions!C67-Assumptions!C63-Assumptions!C61-Assumptions!C66-Assumptions!C68)+C409*(Assumptions!C59-Assumptions!C60)/Assumptions!$C$9</f>
        <v>-0.98164013457184751</v>
      </c>
      <c r="D410" s="1">
        <f>D407*(Assumptions!D57/Assumptions!$C$9+Assumptions!D58+Assumptions!D62+Assumptions!D64+Assumptions!D65+Assumptions!D67-Assumptions!D63-Assumptions!D61-Assumptions!D66-Assumptions!D68)+D409*(Assumptions!D59-Assumptions!D60)/Assumptions!$C$9</f>
        <v>-8.8365888807783328</v>
      </c>
      <c r="E410" s="1">
        <f>E407*(Assumptions!E57/Assumptions!$C$9+Assumptions!E58+Assumptions!E62+Assumptions!E64+Assumptions!E65+Assumptions!E67-Assumptions!E63-Assumptions!E61-Assumptions!E66-Assumptions!E68)+E409*(Assumptions!E59-Assumptions!E60)/Assumptions!$C$9</f>
        <v>-17.947000058765518</v>
      </c>
      <c r="F410" s="1">
        <f>F407*(Assumptions!F57/Assumptions!$C$9+Assumptions!F58+Assumptions!F62+Assumptions!F64+Assumptions!F65+Assumptions!F67-Assumptions!F63-Assumptions!F61-Assumptions!F66-Assumptions!F68)+F409*(Assumptions!F59-Assumptions!F60)/Assumptions!$C$9</f>
        <v>-28.035657068394421</v>
      </c>
      <c r="G410" s="1">
        <f>G407*(Assumptions!G57/Assumptions!$C$9+Assumptions!G58+Assumptions!G62+Assumptions!G64+Assumptions!G65+Assumptions!G67-Assumptions!G63-Assumptions!G61-Assumptions!G66-Assumptions!G68)+G409*(Assumptions!G59-Assumptions!G60)/Assumptions!$C$9</f>
        <v>-39.294357563710349</v>
      </c>
      <c r="H410" s="1">
        <f>H407*(Assumptions!H57/Assumptions!$C$9+Assumptions!H58+Assumptions!H62+Assumptions!H64+Assumptions!H65+Assumptions!H67-Assumptions!H63-Assumptions!H61-Assumptions!H66-Assumptions!H68)+H409*(Assumptions!H59-Assumptions!H60)/Assumptions!$C$9</f>
        <v>-49.951621066418056</v>
      </c>
      <c r="I410" s="1">
        <f>I407*(Assumptions!I57/Assumptions!$C$9+Assumptions!I58+Assumptions!I62+Assumptions!I64+Assumptions!I65+Assumptions!I67-Assumptions!I63-Assumptions!I61-Assumptions!I66-Assumptions!I68)+I409*(Assumptions!I59-Assumptions!I60)/Assumptions!$C$9</f>
        <v>-59.16378235038016</v>
      </c>
      <c r="J410" s="1">
        <f>J407*(Assumptions!J57/Assumptions!$C$9+Assumptions!J58+Assumptions!J62+Assumptions!J64+Assumptions!J65+Assumptions!J67-Assumptions!J63-Assumptions!J61-Assumptions!J66-Assumptions!J68)+J409*(Assumptions!J59-Assumptions!J60)/Assumptions!$C$9</f>
        <v>-66.445787849286404</v>
      </c>
      <c r="K410" s="1">
        <f>K407*(Assumptions!K57/Assumptions!$C$9+Assumptions!K58+Assumptions!K62+Assumptions!K64+Assumptions!K65+Assumptions!K67-Assumptions!K63-Assumptions!K61-Assumptions!K66-Assumptions!K68)+K409*(Assumptions!K59-Assumptions!K60)/Assumptions!$C$9</f>
        <v>-71.349906692605174</v>
      </c>
      <c r="L410" s="1">
        <f>L407*(Assumptions!L57/Assumptions!$C$9+Assumptions!L58+Assumptions!L62+Assumptions!L64+Assumptions!L65+Assumptions!L67-Assumptions!L63-Assumptions!L61-Assumptions!L66-Assumptions!L68)+L409*(Assumptions!L59-Assumptions!L60)/Assumptions!$C$9</f>
        <v>-73.490403893383331</v>
      </c>
    </row>
    <row r="411" spans="1:12" hidden="1" outlineLevel="1">
      <c r="A411" s="1" t="s">
        <v>894</v>
      </c>
      <c r="C411" s="1">
        <f>C410</f>
        <v>-0.98164013457184751</v>
      </c>
      <c r="D411" s="1">
        <f>D410-C410</f>
        <v>-7.8549487462064853</v>
      </c>
      <c r="E411" s="1">
        <f>E410-D410</f>
        <v>-9.110411177987185</v>
      </c>
      <c r="F411" s="1">
        <f>F410-E410</f>
        <v>-10.088657009628903</v>
      </c>
      <c r="G411" s="1">
        <f>G410-F410</f>
        <v>-11.258700495315928</v>
      </c>
      <c r="H411" s="1">
        <f>H410-G410</f>
        <v>-10.657263502707707</v>
      </c>
      <c r="I411" s="1">
        <f>I410-H410</f>
        <v>-9.2121612839621037</v>
      </c>
      <c r="J411" s="1">
        <f>J410-I410</f>
        <v>-7.2820054989062442</v>
      </c>
      <c r="K411" s="1">
        <f>K410-J410</f>
        <v>-4.9041188433187699</v>
      </c>
      <c r="L411" s="1">
        <f>L410-K410</f>
        <v>-2.1404972007781566</v>
      </c>
    </row>
    <row r="412" spans="1:12" hidden="1" outlineLevel="1">
      <c r="A412" s="1" t="s">
        <v>895</v>
      </c>
      <c r="C412" s="1">
        <f>C408*(1-Assumptions!C49)</f>
        <v>192.75749387535038</v>
      </c>
      <c r="D412" s="1">
        <f>D408*(1-Assumptions!D49)</f>
        <v>276.86189379737141</v>
      </c>
      <c r="E412" s="1">
        <f>E408*(1-Assumptions!E49)</f>
        <v>384.88407541841627</v>
      </c>
      <c r="F412" s="1">
        <f>F408*(1-Assumptions!F49)</f>
        <v>511.81095217599619</v>
      </c>
      <c r="G412" s="1">
        <f>G408*(1-Assumptions!G49)</f>
        <v>650.25410188130172</v>
      </c>
      <c r="H412" s="1">
        <f>H408*(1-Assumptions!H49)</f>
        <v>770.66906664908845</v>
      </c>
      <c r="I412" s="1">
        <f>I408*(1-Assumptions!I49)</f>
        <v>875.61314946194977</v>
      </c>
      <c r="J412" s="1">
        <f>J408*(1-Assumptions!J49)</f>
        <v>960.14415199573762</v>
      </c>
      <c r="K412" s="1">
        <f>K408*(1-Assumptions!K49)</f>
        <v>1019.6887202472976</v>
      </c>
      <c r="L412" s="1">
        <f>L408*(1-Assumptions!L49)</f>
        <v>1050.2793818547166</v>
      </c>
    </row>
    <row r="413" spans="1:12" hidden="1" outlineLevel="1">
      <c r="A413" s="1" t="s">
        <v>896</v>
      </c>
      <c r="C413" s="1">
        <f>C407*Assumptions!C53</f>
        <v>15.226945171629088</v>
      </c>
      <c r="D413" s="1">
        <f>D407*Assumptions!D53</f>
        <v>34.30094855281471</v>
      </c>
      <c r="E413" s="1">
        <f>E407*Assumptions!E53</f>
        <v>56.766671590341275</v>
      </c>
      <c r="F413" s="1">
        <f>F407*Assumptions!F53</f>
        <v>82.175799330961198</v>
      </c>
      <c r="G413" s="1">
        <f>G407*Assumptions!G53</f>
        <v>110.29883733564201</v>
      </c>
      <c r="H413" s="1">
        <f>H407*Assumptions!H53</f>
        <v>136.146574705831</v>
      </c>
      <c r="I413" s="1">
        <f>I407*Assumptions!I53</f>
        <v>158.55172623480212</v>
      </c>
      <c r="J413" s="1">
        <f>J407*Assumptions!J53</f>
        <v>176.37699847509393</v>
      </c>
      <c r="K413" s="1">
        <f>K407*Assumptions!K53</f>
        <v>188.57177624981981</v>
      </c>
      <c r="L413" s="1">
        <f>L407*Assumptions!L53</f>
        <v>194.22892953731449</v>
      </c>
    </row>
    <row r="414" spans="1:12" hidden="1" outlineLevel="1">
      <c r="A414" s="1" t="s">
        <v>897</v>
      </c>
      <c r="C414" s="1">
        <f>C407*Assumptions!C55</f>
        <v>2.7774388235233296</v>
      </c>
      <c r="D414" s="1">
        <f>D407*Assumptions!D55</f>
        <v>6.2565921871032391</v>
      </c>
      <c r="E414" s="1">
        <f>E407*Assumptions!E55</f>
        <v>10.354405022156156</v>
      </c>
      <c r="F414" s="1">
        <f>F407*Assumptions!F55</f>
        <v>14.989103385039343</v>
      </c>
      <c r="G414" s="1">
        <f>G407*Assumptions!G55</f>
        <v>20.118826826557836</v>
      </c>
      <c r="H414" s="1">
        <f>H407*Assumptions!H55</f>
        <v>24.833528853984724</v>
      </c>
      <c r="I414" s="1">
        <f>I407*Assumptions!I55</f>
        <v>28.920293270752488</v>
      </c>
      <c r="J414" s="1">
        <f>J407*Assumptions!J55</f>
        <v>32.171674463895798</v>
      </c>
      <c r="K414" s="1">
        <f>K407*Assumptions!K55</f>
        <v>34.396037187606808</v>
      </c>
      <c r="L414" s="1">
        <f>L407*Assumptions!L55</f>
        <v>35.427918303235025</v>
      </c>
    </row>
    <row r="415" spans="1:12" hidden="1" outlineLevel="1">
      <c r="A415" s="1" t="s">
        <v>898</v>
      </c>
      <c r="C415" s="1">
        <f>Assumptions!C54</f>
        <v>2.9000000000000001E-2</v>
      </c>
      <c r="D415" s="1">
        <f>Assumptions!D54</f>
        <v>0.03</v>
      </c>
      <c r="E415" s="1">
        <f>Assumptions!E54</f>
        <v>0.03</v>
      </c>
      <c r="F415" s="1">
        <f>Assumptions!F54</f>
        <v>2.9000000000000001E-2</v>
      </c>
      <c r="G415" s="1">
        <f>Assumptions!G54</f>
        <v>2.8000000000000001E-2</v>
      </c>
      <c r="H415" s="1">
        <f>Assumptions!$G$54+($L415-Assumptions!$G$54)*H$33</f>
        <v>3.0307071246999329E-2</v>
      </c>
      <c r="I415" s="1">
        <f>Assumptions!$G$54+($L415-Assumptions!$G$54)*I$33</f>
        <v>3.261414249399866E-2</v>
      </c>
      <c r="J415" s="1">
        <f>Assumptions!$G$54+($L415-Assumptions!$G$54)*J$33</f>
        <v>3.4921213740997985E-2</v>
      </c>
      <c r="K415" s="1">
        <f>Assumptions!$G$54+($L415-Assumptions!$G$54)*K$33</f>
        <v>3.7228284987997309E-2</v>
      </c>
      <c r="L415" s="1">
        <f>((DCF!$L$9+L412)*DCF!$C$22/DCF!$C$24+DCF!$L$10+L413-(DCF!$L$12+L411)-(-Projections!$L$122+L414))/(Projections!$L$20+L407)</f>
        <v>3.9535356234996641E-2</v>
      </c>
    </row>
    <row r="416" spans="1:12" hidden="1" outlineLevel="1">
      <c r="A416" s="1" t="s">
        <v>899</v>
      </c>
      <c r="C416" s="1">
        <f>DCF!C13+C412+C413-((Projections!C20+C407)*C415+Projections!C121)-C414-C411</f>
        <v>9610.2135796744897</v>
      </c>
      <c r="D416" s="1">
        <f>DCF!D13+D412+D413-((Projections!D20+D407)*D415+Projections!D121)-D414-D411</f>
        <v>11652.036195990955</v>
      </c>
      <c r="E416" s="1">
        <f>DCF!E13+E412+E413-((Projections!E20+E407)*E415+Projections!E121)-E414-E411</f>
        <v>12705.384462630167</v>
      </c>
      <c r="F416" s="1">
        <f>DCF!F13+F412+F413-((Projections!F20+F407)*F415+Projections!F121)-F414-F411</f>
        <v>13830.130270790049</v>
      </c>
      <c r="G416" s="1">
        <f>DCF!G13+G412+G413-((Projections!G20+G407)*G415+Projections!G121)-G414-G411</f>
        <v>14849.154542059325</v>
      </c>
      <c r="H416" s="1">
        <f>DCF!H13+H412+H413-((Projections!H20+H407)*H415+Projections!H121)-H414-H411</f>
        <v>15184.82027788638</v>
      </c>
      <c r="I416" s="1">
        <f>DCF!I13+I412+I413-((Projections!I20+I407)*I415+Projections!I121)-I414-I411</f>
        <v>15459.835971892127</v>
      </c>
      <c r="J416" s="1">
        <f>DCF!J13+J412+J413-((Projections!J20+J407)*J415+Projections!J121)-J414-J411</f>
        <v>15663.975719313286</v>
      </c>
      <c r="K416" s="1">
        <f>DCF!K13+K412+K413-((Projections!K20+K407)*K415+Projections!K121)-K414-K411</f>
        <v>15791.859053515795</v>
      </c>
      <c r="L416" s="1">
        <f>(DCF!$L$9+L412)*(1-DCF!$C$22/DCF!$C$24)</f>
        <v>15839.591080343393</v>
      </c>
    </row>
    <row r="417" spans="1:12" hidden="1" outlineLevel="1">
      <c r="A417" s="1" t="s">
        <v>30</v>
      </c>
      <c r="B417" s="1">
        <f>(SUMPRODUCT(C416:K416,DCF!$C$14:$K$14,DCF!$C$17:$K$17)+L416*DCF!$L$17*(1+(1+DCF!$C$22)/(DCF!$C$21-DCF!$C$22))+DCF!$C$44)/DCF!$C$46</f>
        <v>160.38340732362616</v>
      </c>
    </row>
    <row r="418" spans="1:12" hidden="1" outlineLevel="1"/>
    <row r="419" spans="1:12" hidden="1" outlineLevel="1">
      <c r="A419" s="1" t="s">
        <v>923</v>
      </c>
      <c r="B419" s="35">
        <f>$B$21-Assumptions!$C$28</f>
        <v>2.0000000000000018E-2</v>
      </c>
      <c r="C419" s="35">
        <f>$G$16-Assumptions!$C$38</f>
        <v>1.0000000000000009E-2</v>
      </c>
    </row>
    <row r="420" spans="1:12" hidden="1" outlineLevel="1">
      <c r="A420" s="1" t="s">
        <v>887</v>
      </c>
      <c r="C420" s="1">
        <f>Projections!B9*(1+Assumptions!C21+$B$419*C$32)</f>
        <v>14851.851428571434</v>
      </c>
      <c r="D420" s="1">
        <f>C420*(1+Assumptions!D21+$B$419*D$32)</f>
        <v>16337.036571428578</v>
      </c>
      <c r="E420" s="1">
        <f>D420*(1+Assumptions!E21+$B$419*E$32)</f>
        <v>17807.369862857151</v>
      </c>
      <c r="F420" s="1">
        <f>E420*(1+Assumptions!F21+$B$419*F$32)</f>
        <v>19231.959451885723</v>
      </c>
      <c r="G420" s="1">
        <f>F420*(1+Assumptions!G21+$B$419*G$32)</f>
        <v>20578.196613517724</v>
      </c>
      <c r="H420" s="1">
        <f>G420*(1+Assumptions!H21+$B$419*H$32)</f>
        <v>21854.044803555826</v>
      </c>
      <c r="I420" s="1">
        <f>H420*(1+Assumptions!I21+$B$419*I$32)</f>
        <v>23034.163222947842</v>
      </c>
      <c r="J420" s="1">
        <f>I420*(1+Assumptions!J21+$B$419*J$32)</f>
        <v>24093.734731203444</v>
      </c>
      <c r="K420" s="1">
        <f>J420*(1+Assumptions!K21+$B$419*K$32)</f>
        <v>25009.296650989174</v>
      </c>
      <c r="L420" s="1">
        <f>K420*(1+Assumptions!L21+$B$419*L$32)</f>
        <v>25759.57555051885</v>
      </c>
    </row>
    <row r="421" spans="1:12" hidden="1" outlineLevel="1">
      <c r="A421" s="1" t="s">
        <v>888</v>
      </c>
      <c r="C421" s="1">
        <f>Projections!B14*(1+Assumptions!C28+$B$419*C$32)</f>
        <v>19930.00307692308</v>
      </c>
      <c r="D421" s="1">
        <f>C421*(1+Assumptions!D28+$B$419*D$32)</f>
        <v>22720.203507692313</v>
      </c>
      <c r="E421" s="1">
        <f>D421*(1+Assumptions!E28+$B$419*E$32)</f>
        <v>25219.425893538471</v>
      </c>
      <c r="F421" s="1">
        <f>E421*(1+Assumptions!F28+$B$419*F$32)</f>
        <v>27489.174223956936</v>
      </c>
      <c r="G421" s="1">
        <f>F421*(1+Assumptions!G28+$B$419*G$32)</f>
        <v>29688.308161873494</v>
      </c>
      <c r="H421" s="1">
        <f>G421*(1+Assumptions!H28+$B$419*H$32)</f>
        <v>31766.489733204642</v>
      </c>
      <c r="I421" s="1">
        <f>H421*(1+Assumptions!I28+$B$419*I$32)</f>
        <v>33672.479117196919</v>
      </c>
      <c r="J421" s="1">
        <f>I421*(1+Assumptions!J28+$B$419*J$32)</f>
        <v>35356.103073056765</v>
      </c>
      <c r="K421" s="1">
        <f>J421*(1+Assumptions!K28+$B$419*K$32)</f>
        <v>36770.34719597904</v>
      </c>
      <c r="L421" s="1">
        <f>K421*(1+Assumptions!L28+$B$419*L$32)</f>
        <v>37873.457611858415</v>
      </c>
    </row>
    <row r="422" spans="1:12" hidden="1" outlineLevel="1">
      <c r="A422" s="1" t="s">
        <v>889</v>
      </c>
      <c r="C422" s="1">
        <f>(C420-Projections!C9)+(C421-Projections!C14)</f>
        <v>604.45582417582409</v>
      </c>
      <c r="D422" s="1">
        <f>(D420-Projections!D9)+(D421-Projections!D14)</f>
        <v>1361.6262417582439</v>
      </c>
      <c r="E422" s="1">
        <f>(E420-Projections!E9)+(E421-Projections!E14)</f>
        <v>2253.4359239560472</v>
      </c>
      <c r="F422" s="1">
        <f>(F420-Projections!F9)+(F421-Projections!F14)</f>
        <v>3262.0883540351679</v>
      </c>
      <c r="G422" s="1">
        <f>(G420-Projections!G9)+(G421-Projections!G14)</f>
        <v>4378.4734151123048</v>
      </c>
      <c r="H422" s="1">
        <f>(H420-Projections!H9)+(H421-Projections!H14)</f>
        <v>5404.5370949295939</v>
      </c>
      <c r="I422" s="1">
        <f>(I420-Projections!I9)+(I421-Projections!I14)</f>
        <v>6293.9423026439872</v>
      </c>
      <c r="J422" s="1">
        <f>(J420-Projections!J9)+(J421-Projections!J14)</f>
        <v>7001.5425140927873</v>
      </c>
      <c r="K422" s="1">
        <f>(K420-Projections!K9)+(K421-Projections!K14)</f>
        <v>7485.6320256382169</v>
      </c>
      <c r="L422" s="1">
        <f>(L420-Projections!L9)+(L421-Projections!L14)</f>
        <v>7710.2009864073661</v>
      </c>
    </row>
    <row r="423" spans="1:12" hidden="1" outlineLevel="1">
      <c r="A423" s="1" t="s">
        <v>890</v>
      </c>
      <c r="C423" s="1">
        <f>C422*(1+Assumptions!C32)</f>
        <v>587.86624097684194</v>
      </c>
      <c r="D423" s="1">
        <f>D422*(1+Assumptions!D32)</f>
        <v>1324.2557492919573</v>
      </c>
      <c r="E423" s="1">
        <f>E422*(1+Assumptions!E32)</f>
        <v>2191.5892823176505</v>
      </c>
      <c r="F423" s="1">
        <f>F422*(1+Assumptions!F32)</f>
        <v>3172.5587573512657</v>
      </c>
      <c r="G423" s="1">
        <f>G422*(1+Assumptions!G32)</f>
        <v>4258.3040890849188</v>
      </c>
      <c r="H423" s="1">
        <f>H422*(1+Assumptions!H32)</f>
        <v>5256.2069536648123</v>
      </c>
      <c r="I423" s="1">
        <f>I422*(1+Assumptions!I32)</f>
        <v>6121.2020041752385</v>
      </c>
      <c r="J423" s="1">
        <f>J422*(1+Assumptions!J32)</f>
        <v>6809.3817847009796</v>
      </c>
      <c r="K423" s="1">
        <f>K422*(1+Assumptions!K32)</f>
        <v>7280.1852248639589</v>
      </c>
      <c r="L423" s="1">
        <f>L422*(1+Assumptions!L32)</f>
        <v>7498.5907816098807</v>
      </c>
    </row>
    <row r="424" spans="1:12" hidden="1" outlineLevel="1">
      <c r="A424" s="1" t="s">
        <v>891</v>
      </c>
      <c r="C424" s="1">
        <f>(C420-Projections!C9)*Assumptions!C36+(C421-Projections!C14)*Assumptions!C37+C423*(Assumptions!C39+Assumptions!C40)+Projections!C17*$C$419</f>
        <v>389.05969514402955</v>
      </c>
      <c r="D424" s="1">
        <f>(D420-Projections!D9)*Assumptions!D36+(D421-Projections!D14)*Assumptions!D37+D423*(Assumptions!D39+Assumptions!D40)+Projections!D17*$C$419</f>
        <v>510.09395527716163</v>
      </c>
      <c r="E424" s="1">
        <f>(E420-Projections!E9)*Assumptions!E36+(E421-Projections!E14)*Assumptions!E37+E423*(Assumptions!E39+Assumptions!E40)+Projections!E17*$C$419</f>
        <v>653.63637710377691</v>
      </c>
      <c r="F424" s="1">
        <f>(F420-Projections!F9)*Assumptions!F36+(F421-Projections!F14)*Assumptions!F37+F423*(Assumptions!F39+Assumptions!F40)+Projections!F17*$C$419</f>
        <v>819.35913865994735</v>
      </c>
      <c r="G424" s="1">
        <f>(G420-Projections!G9)*Assumptions!G36+(G421-Projections!G14)*Assumptions!G37+G423*(Assumptions!G39+Assumptions!G40)+Projections!G17*$C$419</f>
        <v>997.88522311793042</v>
      </c>
      <c r="H424" s="1">
        <f>(H420-Projections!H9)*Assumptions!H36+(H421-Projections!H14)*Assumptions!H37+H423*(Assumptions!H39+Assumptions!H40)+Projections!H17*$C$419</f>
        <v>1154.0478821669496</v>
      </c>
      <c r="I424" s="1">
        <f>(I420-Projections!I9)*Assumptions!I36+(I421-Projections!I14)*Assumptions!I37+I423*(Assumptions!I39+Assumptions!I40)+Projections!I17*$C$419</f>
        <v>1290.9734847345812</v>
      </c>
      <c r="J424" s="1">
        <f>(J420-Projections!J9)*Assumptions!J36+(J421-Projections!J14)*Assumptions!J37+J423*(Assumptions!J39+Assumptions!J40)+Projections!J17*$C$419</f>
        <v>1402.5222468588604</v>
      </c>
      <c r="K424" s="1">
        <f>(K420-Projections!K9)*Assumptions!K36+(K421-Projections!K14)*Assumptions!K37+K423*(Assumptions!K39+Assumptions!K40)+Projections!K17*$C$419</f>
        <v>1483.0097460625034</v>
      </c>
      <c r="L424" s="1">
        <f>(L420-Projections!L9)*Assumptions!L36+(L421-Projections!L14)*Assumptions!L37+L423*(Assumptions!L39+Assumptions!L40)+Projections!L17*$C$419</f>
        <v>1527.5000384443786</v>
      </c>
    </row>
    <row r="425" spans="1:12" hidden="1" outlineLevel="1">
      <c r="A425" s="1" t="s">
        <v>892</v>
      </c>
      <c r="C425" s="1">
        <f>C423*(1-Assumptions!C44-Assumptions!C45+Assumptions!C46)-C424</f>
        <v>142.3713866990355</v>
      </c>
      <c r="D425" s="1">
        <f>D423*(1-Assumptions!D44-Assumptions!D45+Assumptions!D46)-D424</f>
        <v>687.03324208276774</v>
      </c>
      <c r="E425" s="1">
        <f>E423*(1-Assumptions!E44-Assumptions!E45+Assumptions!E46)-E424</f>
        <v>1327.5603341113788</v>
      </c>
      <c r="F425" s="1">
        <f>F423*(1-Assumptions!F44-Assumptions!F45+Assumptions!F46)-F424</f>
        <v>2048.6339779855966</v>
      </c>
      <c r="G425" s="1">
        <f>G423*(1-Assumptions!G44-Assumptions!G45+Assumptions!G46)-G424</f>
        <v>2851.6216734148361</v>
      </c>
      <c r="H425" s="1">
        <f>H423*(1-Assumptions!H44-Assumptions!H45+Assumptions!H46)-H424</f>
        <v>3597.5632039460406</v>
      </c>
      <c r="I425" s="1">
        <f>I423*(1-Assumptions!I44-Assumptions!I45+Assumptions!I46)-I424</f>
        <v>4242.5931270398341</v>
      </c>
      <c r="J425" s="1">
        <f>J423*(1-Assumptions!J44-Assumptions!J45+Assumptions!J46)-J424</f>
        <v>4753.1588865108242</v>
      </c>
      <c r="K425" s="1">
        <f>K423*(1-Assumptions!K44-Assumptions!K45+Assumptions!K46)-K424</f>
        <v>5098.2776972145148</v>
      </c>
      <c r="L425" s="1">
        <f>L423*(1-Assumptions!L44-Assumptions!L45+Assumptions!L46)-L424</f>
        <v>5251.2260281309527</v>
      </c>
    </row>
    <row r="426" spans="1:12" hidden="1" outlineLevel="1">
      <c r="A426" s="1" t="s">
        <v>893</v>
      </c>
      <c r="C426" s="1">
        <f>C423*(Assumptions!C57/Assumptions!$C$9+Assumptions!C58+Assumptions!C62+Assumptions!C64+Assumptions!C65+Assumptions!C67-Assumptions!C63-Assumptions!C61-Assumptions!C66-Assumptions!C68)+C425*(Assumptions!C59-Assumptions!C60)/Assumptions!$C$9</f>
        <v>4.7794992581757691</v>
      </c>
      <c r="D426" s="1">
        <f>D423*(Assumptions!D57/Assumptions!$C$9+Assumptions!D58+Assumptions!D62+Assumptions!D64+Assumptions!D65+Assumptions!D67-Assumptions!D63-Assumptions!D61-Assumptions!D66-Assumptions!D68)+D425*(Assumptions!D59-Assumptions!D60)/Assumptions!$C$9</f>
        <v>-2.672169730538382</v>
      </c>
      <c r="E426" s="1">
        <f>E423*(Assumptions!E57/Assumptions!$C$9+Assumptions!E58+Assumptions!E62+Assumptions!E64+Assumptions!E65+Assumptions!E67-Assumptions!E63-Assumptions!E61-Assumptions!E66-Assumptions!E68)+E425*(Assumptions!E59-Assumptions!E60)/Assumptions!$C$9</f>
        <v>-11.412715759511173</v>
      </c>
      <c r="F426" s="1">
        <f>F423*(Assumptions!F57/Assumptions!$C$9+Assumptions!F58+Assumptions!F62+Assumptions!F64+Assumptions!F65+Assumptions!F67-Assumptions!F63-Assumptions!F61-Assumptions!F66-Assumptions!F68)+F425*(Assumptions!F59-Assumptions!F60)/Assumptions!$C$9</f>
        <v>-21.174658554177334</v>
      </c>
      <c r="G426" s="1">
        <f>G423*(Assumptions!G57/Assumptions!$C$9+Assumptions!G58+Assumptions!G62+Assumptions!G64+Assumptions!G65+Assumptions!G67-Assumptions!G63-Assumptions!G61-Assumptions!G66-Assumptions!G68)+G425*(Assumptions!G59-Assumptions!G60)/Assumptions!$C$9</f>
        <v>-32.158919108924607</v>
      </c>
      <c r="H426" s="1">
        <f>H423*(Assumptions!H57/Assumptions!$C$9+Assumptions!H58+Assumptions!H62+Assumptions!H64+Assumptions!H65+Assumptions!H67-Assumptions!H63-Assumptions!H61-Assumptions!H66-Assumptions!H68)+H425*(Assumptions!H59-Assumptions!H60)/Assumptions!$C$9</f>
        <v>-42.545035950350467</v>
      </c>
      <c r="I426" s="1">
        <f>I423*(Assumptions!I57/Assumptions!$C$9+Assumptions!I58+Assumptions!I62+Assumptions!I64+Assumptions!I65+Assumptions!I67-Assumptions!I63-Assumptions!I61-Assumptions!I66-Assumptions!I68)+I425*(Assumptions!I59-Assumptions!I60)/Assumptions!$C$9</f>
        <v>-51.490560170134103</v>
      </c>
      <c r="J426" s="1">
        <f>J423*(Assumptions!J57/Assumptions!$C$9+Assumptions!J58+Assumptions!J62+Assumptions!J64+Assumptions!J65+Assumptions!J67-Assumptions!J63-Assumptions!J61-Assumptions!J66-Assumptions!J68)+J425*(Assumptions!J59-Assumptions!J60)/Assumptions!$C$9</f>
        <v>-58.51167611491195</v>
      </c>
      <c r="K426" s="1">
        <f>K423*(Assumptions!K57/Assumptions!$C$9+Assumptions!K58+Assumptions!K62+Assumptions!K64+Assumptions!K65+Assumptions!K67-Assumptions!K63-Assumptions!K61-Assumptions!K66-Assumptions!K68)+K425*(Assumptions!K59-Assumptions!K60)/Assumptions!$C$9</f>
        <v>-63.16190338273077</v>
      </c>
      <c r="L426" s="1">
        <f>L423*(Assumptions!L57/Assumptions!$C$9+Assumptions!L58+Assumptions!L62+Assumptions!L64+Assumptions!L65+Assumptions!L67-Assumptions!L63-Assumptions!L61-Assumptions!L66-Assumptions!L68)+L425*(Assumptions!L59-Assumptions!L60)/Assumptions!$C$9</f>
        <v>-65.056760484212731</v>
      </c>
    </row>
    <row r="427" spans="1:12" hidden="1" outlineLevel="1">
      <c r="A427" s="1" t="s">
        <v>894</v>
      </c>
      <c r="C427" s="1">
        <f>C426</f>
        <v>4.7794992581757691</v>
      </c>
      <c r="D427" s="1">
        <f>D426-C426</f>
        <v>-7.4516689887141512</v>
      </c>
      <c r="E427" s="1">
        <f>E426-D426</f>
        <v>-8.7405460289727905</v>
      </c>
      <c r="F427" s="1">
        <f>F426-E426</f>
        <v>-9.7619427946661617</v>
      </c>
      <c r="G427" s="1">
        <f>G426-F426</f>
        <v>-10.984260554747273</v>
      </c>
      <c r="H427" s="1">
        <f>H426-G426</f>
        <v>-10.38611684142586</v>
      </c>
      <c r="I427" s="1">
        <f>I426-H426</f>
        <v>-8.9455242197836355</v>
      </c>
      <c r="J427" s="1">
        <f>J426-I426</f>
        <v>-7.0211159447778471</v>
      </c>
      <c r="K427" s="1">
        <f>K426-J426</f>
        <v>-4.6502272678188206</v>
      </c>
      <c r="L427" s="1">
        <f>L426-K426</f>
        <v>-1.8948571014819606</v>
      </c>
    </row>
    <row r="428" spans="1:12" hidden="1" outlineLevel="1">
      <c r="A428" s="1" t="s">
        <v>895</v>
      </c>
      <c r="C428" s="1">
        <f>C424*(1-Assumptions!C49)</f>
        <v>323.22441565510059</v>
      </c>
      <c r="D428" s="1">
        <f>D424*(1-Assumptions!D49)</f>
        <v>412.86749374617051</v>
      </c>
      <c r="E428" s="1">
        <f>E424*(1-Assumptions!E49)</f>
        <v>529.0500113641433</v>
      </c>
      <c r="F428" s="1">
        <f>F424*(1-Assumptions!F49)</f>
        <v>663.18518491900966</v>
      </c>
      <c r="G428" s="1">
        <f>G424*(1-Assumptions!G49)</f>
        <v>807.68330393403562</v>
      </c>
      <c r="H428" s="1">
        <f>H424*(1-Assumptions!H49)</f>
        <v>934.08057837982631</v>
      </c>
      <c r="I428" s="1">
        <f>I424*(1-Assumptions!I49)</f>
        <v>1044.9074756149942</v>
      </c>
      <c r="J428" s="1">
        <f>J424*(1-Assumptions!J49)</f>
        <v>1135.1944852379856</v>
      </c>
      <c r="K428" s="1">
        <f>K424*(1-Assumptions!K49)</f>
        <v>1200.3406641532972</v>
      </c>
      <c r="L428" s="1">
        <f>L424*(1-Assumptions!L49)</f>
        <v>1236.3508840778964</v>
      </c>
    </row>
    <row r="429" spans="1:12" hidden="1" outlineLevel="1">
      <c r="A429" s="1" t="s">
        <v>896</v>
      </c>
      <c r="C429" s="1">
        <f>C423*Assumptions!C53</f>
        <v>15.226945171629088</v>
      </c>
      <c r="D429" s="1">
        <f>D423*Assumptions!D53</f>
        <v>34.30094855281471</v>
      </c>
      <c r="E429" s="1">
        <f>E423*Assumptions!E53</f>
        <v>56.766671590341275</v>
      </c>
      <c r="F429" s="1">
        <f>F423*Assumptions!F53</f>
        <v>82.175799330961198</v>
      </c>
      <c r="G429" s="1">
        <f>G423*Assumptions!G53</f>
        <v>110.29883733564201</v>
      </c>
      <c r="H429" s="1">
        <f>H423*Assumptions!H53</f>
        <v>136.146574705831</v>
      </c>
      <c r="I429" s="1">
        <f>I423*Assumptions!I53</f>
        <v>158.55172623480212</v>
      </c>
      <c r="J429" s="1">
        <f>J423*Assumptions!J53</f>
        <v>176.37699847509393</v>
      </c>
      <c r="K429" s="1">
        <f>K423*Assumptions!K53</f>
        <v>188.57177624981981</v>
      </c>
      <c r="L429" s="1">
        <f>L423*Assumptions!L53</f>
        <v>194.22892953731449</v>
      </c>
    </row>
    <row r="430" spans="1:12" hidden="1" outlineLevel="1">
      <c r="A430" s="1" t="s">
        <v>897</v>
      </c>
      <c r="C430" s="1">
        <f>C423*Assumptions!C55</f>
        <v>2.7774388235233296</v>
      </c>
      <c r="D430" s="1">
        <f>D423*Assumptions!D55</f>
        <v>6.2565921871032391</v>
      </c>
      <c r="E430" s="1">
        <f>E423*Assumptions!E55</f>
        <v>10.354405022156156</v>
      </c>
      <c r="F430" s="1">
        <f>F423*Assumptions!F55</f>
        <v>14.989103385039343</v>
      </c>
      <c r="G430" s="1">
        <f>G423*Assumptions!G55</f>
        <v>20.118826826557836</v>
      </c>
      <c r="H430" s="1">
        <f>H423*Assumptions!H55</f>
        <v>24.833528853984724</v>
      </c>
      <c r="I430" s="1">
        <f>I423*Assumptions!I55</f>
        <v>28.920293270752488</v>
      </c>
      <c r="J430" s="1">
        <f>J423*Assumptions!J55</f>
        <v>32.171674463895798</v>
      </c>
      <c r="K430" s="1">
        <f>K423*Assumptions!K55</f>
        <v>34.396037187606808</v>
      </c>
      <c r="L430" s="1">
        <f>L423*Assumptions!L55</f>
        <v>35.427918303235025</v>
      </c>
    </row>
    <row r="431" spans="1:12" hidden="1" outlineLevel="1">
      <c r="A431" s="1" t="s">
        <v>898</v>
      </c>
      <c r="C431" s="1">
        <f>Assumptions!C54</f>
        <v>2.9000000000000001E-2</v>
      </c>
      <c r="D431" s="1">
        <f>Assumptions!D54</f>
        <v>0.03</v>
      </c>
      <c r="E431" s="1">
        <f>Assumptions!E54</f>
        <v>0.03</v>
      </c>
      <c r="F431" s="1">
        <f>Assumptions!F54</f>
        <v>2.9000000000000001E-2</v>
      </c>
      <c r="G431" s="1">
        <f>Assumptions!G54</f>
        <v>2.8000000000000001E-2</v>
      </c>
      <c r="H431" s="1">
        <f>Assumptions!$G$54+($L431-Assumptions!$G$54)*H$33</f>
        <v>3.0342893554199869E-2</v>
      </c>
      <c r="I431" s="1">
        <f>Assumptions!$G$54+($L431-Assumptions!$G$54)*I$33</f>
        <v>3.2685787108399741E-2</v>
      </c>
      <c r="J431" s="1">
        <f>Assumptions!$G$54+($L431-Assumptions!$G$54)*J$33</f>
        <v>3.5028680662599607E-2</v>
      </c>
      <c r="K431" s="1">
        <f>Assumptions!$G$54+($L431-Assumptions!$G$54)*K$33</f>
        <v>3.7371574216799486E-2</v>
      </c>
      <c r="L431" s="1">
        <f>((DCF!$L$9+L428)*DCF!$C$22/DCF!$C$24+DCF!$L$10+L429-(DCF!$L$12+L427)-(-Projections!$L$122+L430))/(Projections!$L$20+L423)</f>
        <v>3.9714467770999351E-2</v>
      </c>
    </row>
    <row r="432" spans="1:12" hidden="1" outlineLevel="1">
      <c r="A432" s="1" t="s">
        <v>899</v>
      </c>
      <c r="C432" s="1">
        <f>DCF!C13+C428+C429-((Projections!C20+C423)*C431+Projections!C121)-C430-C427</f>
        <v>9734.9193620614897</v>
      </c>
      <c r="D432" s="1">
        <f>DCF!D13+D428+D429-((Projections!D20+D423)*D431+Projections!D121)-D430-D427</f>
        <v>11787.638516182264</v>
      </c>
      <c r="E432" s="1">
        <f>DCF!E13+E428+E429-((Projections!E20+E423)*E431+Projections!E121)-E430-E427</f>
        <v>12849.180533426877</v>
      </c>
      <c r="F432" s="1">
        <f>DCF!F13+F428+F429-((Projections!F20+F423)*F431+Projections!F121)-F430-F427</f>
        <v>13981.177789318101</v>
      </c>
      <c r="G432" s="1">
        <f>DCF!G13+G428+G429-((Projections!G20+G423)*G431+Projections!G121)-G430-G427</f>
        <v>15006.309304171491</v>
      </c>
      <c r="H432" s="1">
        <f>DCF!H13+H428+H429-((Projections!H20+H423)*H431+Projections!H121)-H430-H427</f>
        <v>15343.151962338387</v>
      </c>
      <c r="I432" s="1">
        <f>DCF!I13+I428+I429-((Projections!I20+I423)*I431+Projections!I121)-I430-I427</f>
        <v>15618.814637906175</v>
      </c>
      <c r="J432" s="1">
        <f>DCF!J13+J428+J429-((Projections!J20+J423)*J431+Projections!J121)-J430-J427</f>
        <v>15823.088817911432</v>
      </c>
      <c r="K432" s="1">
        <f>DCF!K13+K428+K429-((Projections!K20+K423)*K431+Projections!K121)-K430-K427</f>
        <v>15950.623355717802</v>
      </c>
      <c r="L432" s="1">
        <f>(DCF!$L$9+L428)*(1-DCF!$C$22/DCF!$C$24)</f>
        <v>15997.56348917684</v>
      </c>
    </row>
    <row r="433" spans="1:2" hidden="1" outlineLevel="1">
      <c r="A433" s="1" t="s">
        <v>30</v>
      </c>
      <c r="B433" s="1">
        <f>(SUMPRODUCT(C432:K432,DCF!$C$14:$K$14,DCF!$C$17:$K$17)+L432*DCF!$L$17*(1+(1+DCF!$C$22)/(DCF!$C$21-DCF!$C$22))+DCF!$C$44)/DCF!$C$46</f>
        <v>162.24877315497949</v>
      </c>
    </row>
    <row r="434" spans="1:2" hidden="1" outlineLevel="1"/>
    <row r="435" spans="1:2" collapsed="1"/>
  </sheetData>
  <printOptions horizontalCentered="1" gridLinesSet="0"/>
  <pageMargins left="0.5" right="0.5" top="0.5" bottom="0.5" header="0.25" footer="0.25"/>
  <pageSetup firstPageNumber="0" orientation="landscape" horizontalDpi="0" verticalDpi="0" copies="0"/>
  <headerFooter>
    <oddFooter>&amp;C&amp;"Arial"&amp;8Point Alpha Capital | PA-RTX-Model | Sensitivity |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37F5A-8CD3-4D92-B93B-E513110625A8}">
  <sheetPr>
    <tabColor rgb="FF1C2B4A"/>
    <pageSetUpPr fitToPage="1"/>
  </sheetPr>
  <dimension ref="A1:Z80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43.85546875" style="1" customWidth="1"/>
    <col min="2" max="11" width="12.5703125" style="1" customWidth="1"/>
    <col min="12" max="26" width="9.140625" style="1"/>
  </cols>
  <sheetData>
    <row r="1" spans="1:12" ht="15.75">
      <c r="A1" s="70" t="s">
        <v>924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/>
    </row>
    <row r="2" spans="1:12">
      <c r="A2" s="71" t="s">
        <v>925</v>
      </c>
      <c r="B2" s="5"/>
      <c r="C2" s="5"/>
      <c r="D2" s="5"/>
      <c r="E2" s="5"/>
      <c r="F2" s="5"/>
      <c r="G2" s="5"/>
      <c r="H2" s="5"/>
      <c r="I2" s="5"/>
      <c r="J2" s="5"/>
      <c r="K2" s="5"/>
      <c r="L2"/>
    </row>
    <row r="3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/>
    </row>
    <row r="4" spans="1:12">
      <c r="A4" s="97" t="s">
        <v>926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/>
    </row>
    <row r="5" spans="1:12" ht="26.25" customHeight="1">
      <c r="A5" s="99" t="s">
        <v>927</v>
      </c>
      <c r="B5" s="99" t="s">
        <v>928</v>
      </c>
      <c r="C5" s="99" t="s">
        <v>929</v>
      </c>
      <c r="D5" s="99" t="s">
        <v>930</v>
      </c>
      <c r="E5" s="99" t="s">
        <v>931</v>
      </c>
      <c r="F5" s="99" t="s">
        <v>932</v>
      </c>
      <c r="G5" s="99" t="s">
        <v>933</v>
      </c>
      <c r="H5" s="99" t="s">
        <v>934</v>
      </c>
      <c r="I5" s="99" t="s">
        <v>935</v>
      </c>
      <c r="J5" s="99" t="s">
        <v>936</v>
      </c>
      <c r="K5" s="99" t="s">
        <v>937</v>
      </c>
      <c r="L5"/>
    </row>
    <row r="6" spans="1:12">
      <c r="A6" s="98" t="s">
        <v>938</v>
      </c>
      <c r="B6" s="5"/>
      <c r="C6" s="5"/>
      <c r="D6" s="5"/>
      <c r="E6" s="5"/>
      <c r="F6" s="5"/>
      <c r="G6" s="5"/>
      <c r="H6" s="5"/>
      <c r="I6" s="5"/>
      <c r="J6" s="5"/>
      <c r="K6" s="5"/>
      <c r="L6"/>
    </row>
    <row r="7" spans="1:12">
      <c r="A7" s="5" t="str">
        <f>'Peer Data'!A6</f>
        <v>GE Aerospace</v>
      </c>
      <c r="B7" s="5" t="str">
        <f>'Peer Data'!B6</f>
        <v>GE</v>
      </c>
      <c r="C7" s="101">
        <f>'Peer Data'!E6</f>
        <v>295.88</v>
      </c>
      <c r="D7" s="4">
        <f>'Peer Data'!E6*'Peer Data'!G6*'Peer Data'!F6</f>
        <v>308011.08</v>
      </c>
      <c r="E7" s="4">
        <f>D7+'Peer Data'!J6*'Peer Data'!F6</f>
        <v>318573.08</v>
      </c>
      <c r="F7" s="102">
        <f>IF(ISNUMBER('Peer Data'!M6),E7/('Peer Data'!M6*'Peer Data'!F6),"n/d")</f>
        <v>23.399813894895292</v>
      </c>
      <c r="G7" s="102">
        <f>IF(ISNUMBER('Peer Data'!N6),C7/'Peer Data'!N6,"n/d")</f>
        <v>33.305947479607106</v>
      </c>
      <c r="H7" s="102">
        <f>IF(ISNUMBER('Peer Data'!O6),E7/('Peer Data'!O6*'Peer Data'!F6),"n/d")</f>
        <v>5.8076864086786273</v>
      </c>
      <c r="I7" s="21">
        <f>IF(ISNUMBER('Peer Data'!P6),'Peer Data'!P6,"n/d")</f>
        <v>0.11040508339952337</v>
      </c>
      <c r="J7" s="21">
        <f>IF(ISNUMBER('Peer Data'!Q6),'Peer Data'!Q6,"n/d")</f>
        <v>0.30070000000000002</v>
      </c>
      <c r="K7" s="21">
        <f>IF(ISNUMBER('Peer Data'!R6),'Peer Data'!R6,"n/d")</f>
        <v>0.1968</v>
      </c>
      <c r="L7"/>
    </row>
    <row r="8" spans="1:12">
      <c r="A8" s="5" t="str">
        <f>'Peer Data'!A7</f>
        <v>Safran</v>
      </c>
      <c r="B8" s="5" t="str">
        <f>'Peer Data'!B7</f>
        <v>SAF</v>
      </c>
      <c r="C8" s="101">
        <f>'Peer Data'!E7</f>
        <v>313.89999999999998</v>
      </c>
      <c r="D8" s="4">
        <f>'Peer Data'!E7*'Peer Data'!G7*'Peer Data'!F7</f>
        <v>146530.52958779997</v>
      </c>
      <c r="E8" s="4">
        <f>D8+'Peer Data'!J7*'Peer Data'!F7</f>
        <v>144552.22218779998</v>
      </c>
      <c r="F8" s="102">
        <f>IF(ISNUMBER('Peer Data'!M7),E8/('Peer Data'!M7*'Peer Data'!F7),"n/d")</f>
        <v>14.567018530580341</v>
      </c>
      <c r="G8" s="102">
        <f>IF(ISNUMBER('Peer Data'!N7),C8/'Peer Data'!N7,"n/d")</f>
        <v>25.182926159155098</v>
      </c>
      <c r="H8" s="102">
        <f>IF(ISNUMBER('Peer Data'!O7),E8/('Peer Data'!O7*'Peer Data'!F7),"n/d")</f>
        <v>3.2487669226060154</v>
      </c>
      <c r="I8" s="21">
        <f>IF(ISNUMBER('Peer Data'!P7),'Peer Data'!P7,"n/d")</f>
        <v>0.10311816192560186</v>
      </c>
      <c r="J8" s="21">
        <f>IF(ISNUMBER('Peer Data'!Q7),'Peer Data'!Q7,"n/d")</f>
        <v>0.45700000000000002</v>
      </c>
      <c r="K8" s="21">
        <f>IF(ISNUMBER('Peer Data'!R7),'Peer Data'!R7,"n/d")</f>
        <v>0.12189999999999999</v>
      </c>
      <c r="L8"/>
    </row>
    <row r="9" spans="1:12">
      <c r="A9" s="5" t="str">
        <f>'Peer Data'!A8</f>
        <v>Honeywell Aerospace</v>
      </c>
      <c r="B9" s="5" t="str">
        <f>'Peer Data'!B8</f>
        <v>HONA</v>
      </c>
      <c r="C9" s="101">
        <f>'Peer Data'!E8</f>
        <v>162.46</v>
      </c>
      <c r="D9" s="4">
        <f>'Peer Data'!E8*'Peer Data'!G8*'Peer Data'!F8</f>
        <v>51491.697</v>
      </c>
      <c r="E9" s="4">
        <f>D9+'Peer Data'!J8*'Peer Data'!F8</f>
        <v>66287.697</v>
      </c>
      <c r="F9" s="102">
        <f>IF(ISNUMBER('Peer Data'!M8),E9/('Peer Data'!M8*'Peer Data'!F8),"n/d")</f>
        <v>12.99790185902963</v>
      </c>
      <c r="G9" s="102">
        <f>IF(ISNUMBER('Peer Data'!N8),C9/'Peer Data'!N8,"n/d")</f>
        <v>18.669741668372087</v>
      </c>
      <c r="H9" s="102">
        <f>IF(ISNUMBER('Peer Data'!O8),E9/('Peer Data'!O8*'Peer Data'!F8),"n/d")</f>
        <v>3.395218967331818</v>
      </c>
      <c r="I9" s="21">
        <f>IF(ISNUMBER('Peer Data'!P8),'Peer Data'!P8,"n/d")</f>
        <v>7.8431372549019551E-2</v>
      </c>
      <c r="J9" s="21" t="str">
        <f>IF(ISNUMBER('Peer Data'!Q8),'Peer Data'!Q8,"n/d")</f>
        <v>n/d</v>
      </c>
      <c r="K9" s="21" t="str">
        <f>IF(ISNUMBER('Peer Data'!R8),'Peer Data'!R8,"n/d")</f>
        <v>n/d</v>
      </c>
      <c r="L9"/>
    </row>
    <row r="10" spans="1:12">
      <c r="A10" s="5" t="str">
        <f>'Peer Data'!A9</f>
        <v>TransDigm</v>
      </c>
      <c r="B10" s="5" t="str">
        <f>'Peer Data'!B9</f>
        <v>TDG</v>
      </c>
      <c r="C10" s="101">
        <f>'Peer Data'!E9</f>
        <v>1129.3800000000001</v>
      </c>
      <c r="D10" s="4">
        <f>'Peer Data'!E9*'Peer Data'!G9*'Peer Data'!F9</f>
        <v>64826.412000000004</v>
      </c>
      <c r="E10" s="4">
        <f>D10+'Peer Data'!J9*'Peer Data'!F9</f>
        <v>95538.412000000011</v>
      </c>
      <c r="F10" s="102">
        <f>IF(ISNUMBER('Peer Data'!M9),E10/('Peer Data'!M9*'Peer Data'!F9),"n/d")</f>
        <v>15.590471932114884</v>
      </c>
      <c r="G10" s="102">
        <f>IF(ISNUMBER('Peer Data'!N9),C10/'Peer Data'!N9,"n/d")</f>
        <v>23.214388489208638</v>
      </c>
      <c r="H10" s="102">
        <f>IF(ISNUMBER('Peer Data'!O9),E10/('Peer Data'!O9*'Peer Data'!F9),"n/d")</f>
        <v>8.1378545144804093</v>
      </c>
      <c r="I10" s="21">
        <f>IF(ISNUMBER('Peer Data'!P9),'Peer Data'!P9,"n/d")</f>
        <v>0.11490978157644816</v>
      </c>
      <c r="J10" s="21">
        <f>IF(ISNUMBER('Peer Data'!Q9),'Peer Data'!Q9,"n/d")</f>
        <v>0.59660000000000002</v>
      </c>
      <c r="K10" s="21">
        <f>IF(ISNUMBER('Peer Data'!R9),'Peer Data'!R9,"n/d")</f>
        <v>0.46510000000000001</v>
      </c>
      <c r="L10"/>
    </row>
    <row r="11" spans="1:12">
      <c r="A11" s="5" t="str">
        <f>'Peer Data'!A10</f>
        <v>HEICO</v>
      </c>
      <c r="B11" s="5" t="str">
        <f>'Peer Data'!B10</f>
        <v>HEI</v>
      </c>
      <c r="C11" s="101">
        <f>'Peer Data'!E10</f>
        <v>298.31</v>
      </c>
      <c r="D11" s="4">
        <f>'Peer Data'!E10*'Peer Data'!G10*'Peer Data'!F10</f>
        <v>42141.955390000003</v>
      </c>
      <c r="E11" s="4">
        <f>D11+'Peer Data'!J10*'Peer Data'!F10</f>
        <v>44442.15539</v>
      </c>
      <c r="F11" s="102">
        <f>IF(ISNUMBER('Peer Data'!M10),E11/('Peer Data'!M10*'Peer Data'!F10),"n/d")</f>
        <v>25.89133387604187</v>
      </c>
      <c r="G11" s="102">
        <f>IF(ISNUMBER('Peer Data'!N10),C11/'Peer Data'!N10,"n/d")</f>
        <v>41.382814162789984</v>
      </c>
      <c r="H11" s="102">
        <f>IF(ISNUMBER('Peer Data'!O10),E11/('Peer Data'!O10*'Peer Data'!F10),"n/d")</f>
        <v>7.4009091651876764</v>
      </c>
      <c r="I11" s="21">
        <f>IF(ISNUMBER('Peer Data'!P10),'Peer Data'!P10,"n/d")</f>
        <v>0.11275415896487995</v>
      </c>
      <c r="J11" s="21">
        <f>IF(ISNUMBER('Peer Data'!Q10),'Peer Data'!Q10,"n/d")</f>
        <v>0.40400000000000003</v>
      </c>
      <c r="K11" s="21">
        <f>IF(ISNUMBER('Peer Data'!R10),'Peer Data'!R10,"n/d")</f>
        <v>0.24160000000000001</v>
      </c>
      <c r="L11"/>
    </row>
    <row r="12" spans="1:12">
      <c r="A12" s="100" t="s">
        <v>939</v>
      </c>
      <c r="B12" s="100"/>
      <c r="C12" s="103"/>
      <c r="D12" s="104">
        <f>IF(COUNT(D7:D11)=0,"n/d",MEDIAN(D7:D11))</f>
        <v>64826.412000000004</v>
      </c>
      <c r="E12" s="104">
        <f>IF(COUNT(E7:E11)=0,"n/d",MEDIAN(E7:E11))</f>
        <v>95538.412000000011</v>
      </c>
      <c r="F12" s="105">
        <f>IF(COUNT(F7:F11)=0,"n/d",MEDIAN(F7:F11))</f>
        <v>15.590471932114884</v>
      </c>
      <c r="G12" s="105">
        <f>IF(COUNT(G7:G11)=0,"n/d",MEDIAN(G7:G11))</f>
        <v>25.182926159155098</v>
      </c>
      <c r="H12" s="105">
        <f>IF(COUNT(H7:H11)=0,"n/d",MEDIAN(H7:H11))</f>
        <v>5.8076864086786273</v>
      </c>
      <c r="I12" s="106">
        <f>IF(COUNT(I7:I11)=0,"n/d",MEDIAN(I7:I11))</f>
        <v>0.11040508339952337</v>
      </c>
      <c r="J12" s="106">
        <f>IF(COUNT(J7:J11)=0,"n/d",MEDIAN(J7:J11))</f>
        <v>0.43049999999999999</v>
      </c>
      <c r="K12" s="106">
        <f>IF(COUNT(K7:K11)=0,"n/d",MEDIAN(K7:K11))</f>
        <v>0.21920000000000001</v>
      </c>
      <c r="L12"/>
    </row>
    <row r="13" spans="1:12">
      <c r="A13" s="100" t="s">
        <v>940</v>
      </c>
      <c r="B13" s="100"/>
      <c r="C13" s="103"/>
      <c r="D13" s="104">
        <f>IF(COUNT(D7:D11)=0,"n/d",AVERAGE(D7:D11))</f>
        <v>122600.33479555999</v>
      </c>
      <c r="E13" s="104">
        <f>IF(COUNT(E7:E11)=0,"n/d",AVERAGE(E7:E11))</f>
        <v>133878.71331555999</v>
      </c>
      <c r="F13" s="105">
        <f>IF(COUNT(F7:F11)=0,"n/d",AVERAGE(F7:F11))</f>
        <v>18.489308018532405</v>
      </c>
      <c r="G13" s="105">
        <f>IF(COUNT(G7:G11)=0,"n/d",AVERAGE(G7:G11))</f>
        <v>28.351163591826584</v>
      </c>
      <c r="H13" s="105">
        <f>IF(COUNT(H7:H11)=0,"n/d",AVERAGE(H7:H11))</f>
        <v>5.5980871956569098</v>
      </c>
      <c r="I13" s="106">
        <f>IF(COUNT(I7:I11)=0,"n/d",AVERAGE(I7:I11))</f>
        <v>0.10392371168309458</v>
      </c>
      <c r="J13" s="106">
        <f>IF(COUNT(J7:J11)=0,"n/d",AVERAGE(J7:J11))</f>
        <v>0.43957500000000005</v>
      </c>
      <c r="K13" s="106">
        <f>IF(COUNT(K7:K11)=0,"n/d",AVERAGE(K7:K11))</f>
        <v>0.25635000000000002</v>
      </c>
      <c r="L13"/>
    </row>
    <row r="14" spans="1:12">
      <c r="A14" s="100" t="s">
        <v>941</v>
      </c>
      <c r="B14" s="100"/>
      <c r="C14" s="103"/>
      <c r="D14" s="104">
        <f>IF(COUNT(D7:D11)=0,"n/d",_xlfn.PERCENTILE.INC(D7:D11,0.25))</f>
        <v>51491.697</v>
      </c>
      <c r="E14" s="104">
        <f>IF(COUNT(E7:E11)=0,"n/d",_xlfn.PERCENTILE.INC(E7:E11,0.25))</f>
        <v>66287.697</v>
      </c>
      <c r="F14" s="105">
        <f>IF(COUNT(F7:F11)=0,"n/d",_xlfn.PERCENTILE.INC(F7:F11,0.25))</f>
        <v>14.567018530580341</v>
      </c>
      <c r="G14" s="105">
        <f>IF(COUNT(G7:G11)=0,"n/d",_xlfn.PERCENTILE.INC(G7:G11,0.25))</f>
        <v>23.214388489208638</v>
      </c>
      <c r="H14" s="105">
        <f>IF(COUNT(H7:H11)=0,"n/d",_xlfn.PERCENTILE.INC(H7:H11,0.25))</f>
        <v>3.395218967331818</v>
      </c>
      <c r="I14" s="106">
        <f>IF(COUNT(I7:I11)=0,"n/d",_xlfn.PERCENTILE.INC(I7:I11,0.25))</f>
        <v>0.10311816192560186</v>
      </c>
      <c r="J14" s="106">
        <f>IF(COUNT(J7:J11)=0,"n/d",_xlfn.PERCENTILE.INC(J7:J11,0.25))</f>
        <v>0.37817500000000004</v>
      </c>
      <c r="K14" s="106">
        <f>IF(COUNT(K7:K11)=0,"n/d",_xlfn.PERCENTILE.INC(K7:K11,0.25))</f>
        <v>0.17807499999999998</v>
      </c>
      <c r="L14"/>
    </row>
    <row r="15" spans="1:12">
      <c r="A15" s="100" t="s">
        <v>942</v>
      </c>
      <c r="B15" s="100"/>
      <c r="C15" s="103"/>
      <c r="D15" s="104">
        <f>IF(COUNT(D7:D11)=0,"n/d",_xlfn.PERCENTILE.INC(D7:D11,0.75))</f>
        <v>146530.52958779997</v>
      </c>
      <c r="E15" s="104">
        <f>IF(COUNT(E7:E11)=0,"n/d",_xlfn.PERCENTILE.INC(E7:E11,0.75))</f>
        <v>144552.22218779998</v>
      </c>
      <c r="F15" s="105">
        <f>IF(COUNT(F7:F11)=0,"n/d",_xlfn.PERCENTILE.INC(F7:F11,0.75))</f>
        <v>23.399813894895292</v>
      </c>
      <c r="G15" s="105">
        <f>IF(COUNT(G7:G11)=0,"n/d",_xlfn.PERCENTILE.INC(G7:G11,0.75))</f>
        <v>33.305947479607106</v>
      </c>
      <c r="H15" s="105">
        <f>IF(COUNT(H7:H11)=0,"n/d",_xlfn.PERCENTILE.INC(H7:H11,0.75))</f>
        <v>7.4009091651876764</v>
      </c>
      <c r="I15" s="106">
        <f>IF(COUNT(I7:I11)=0,"n/d",_xlfn.PERCENTILE.INC(I7:I11,0.75))</f>
        <v>0.11275415896487995</v>
      </c>
      <c r="J15" s="106">
        <f>IF(COUNT(J7:J11)=0,"n/d",_xlfn.PERCENTILE.INC(J7:J11,0.75))</f>
        <v>0.4919</v>
      </c>
      <c r="K15" s="106">
        <f>IF(COUNT(K7:K11)=0,"n/d",_xlfn.PERCENTILE.INC(K7:K11,0.75))</f>
        <v>0.29747499999999999</v>
      </c>
      <c r="L15"/>
    </row>
    <row r="16" spans="1:12">
      <c r="A16" s="5"/>
      <c r="B16" s="5"/>
      <c r="C16" s="101"/>
      <c r="D16" s="4"/>
      <c r="E16" s="4"/>
      <c r="F16" s="102"/>
      <c r="G16" s="102"/>
      <c r="H16" s="102"/>
      <c r="I16" s="21"/>
      <c r="J16" s="21"/>
      <c r="K16" s="21"/>
      <c r="L16"/>
    </row>
    <row r="17" spans="1:12">
      <c r="A17" s="98" t="s">
        <v>943</v>
      </c>
      <c r="B17" s="5"/>
      <c r="C17" s="101"/>
      <c r="D17" s="4"/>
      <c r="E17" s="4"/>
      <c r="F17" s="102"/>
      <c r="G17" s="102"/>
      <c r="H17" s="102"/>
      <c r="I17" s="21"/>
      <c r="J17" s="21"/>
      <c r="K17" s="21"/>
      <c r="L17"/>
    </row>
    <row r="18" spans="1:12">
      <c r="A18" s="5" t="str">
        <f>'Peer Data'!A12</f>
        <v>Lockheed Martin</v>
      </c>
      <c r="B18" s="5" t="str">
        <f>'Peer Data'!B12</f>
        <v>LMT</v>
      </c>
      <c r="C18" s="101">
        <f>'Peer Data'!E12</f>
        <v>551.51</v>
      </c>
      <c r="D18" s="4">
        <f>'Peer Data'!E12*'Peer Data'!G12*'Peer Data'!F12</f>
        <v>127453.961</v>
      </c>
      <c r="E18" s="4">
        <f>D18+'Peer Data'!J12*'Peer Data'!F12</f>
        <v>144200.96100000001</v>
      </c>
      <c r="F18" s="102">
        <f>IF(ISNUMBER('Peer Data'!M12),E18/('Peer Data'!M12*'Peer Data'!F12),"n/d")</f>
        <v>12.144653800183209</v>
      </c>
      <c r="G18" s="102">
        <f>IF(ISNUMBER('Peer Data'!N12),C18/'Peer Data'!N12,"n/d")</f>
        <v>17.121302844603584</v>
      </c>
      <c r="H18" s="102">
        <f>IF(ISNUMBER('Peer Data'!O12),E18/('Peer Data'!O12*'Peer Data'!F12),"n/d")</f>
        <v>1.70217134353989</v>
      </c>
      <c r="I18" s="21">
        <f>IF(ISNUMBER('Peer Data'!P12),'Peer Data'!P12,"n/d")</f>
        <v>5.6920607482405128E-2</v>
      </c>
      <c r="J18" s="21">
        <f>IF(ISNUMBER('Peer Data'!Q12),'Peer Data'!Q12,"n/d")</f>
        <v>0.11799999999999999</v>
      </c>
      <c r="K18" s="21">
        <f>IF(ISNUMBER('Peer Data'!R12),'Peer Data'!R12,"n/d")</f>
        <v>0.1089</v>
      </c>
      <c r="L18"/>
    </row>
    <row r="19" spans="1:12">
      <c r="A19" s="5" t="str">
        <f>'Peer Data'!A13</f>
        <v>Northrop Grumman</v>
      </c>
      <c r="B19" s="5" t="str">
        <f>'Peer Data'!B13</f>
        <v>NOC</v>
      </c>
      <c r="C19" s="101">
        <f>'Peer Data'!E13</f>
        <v>539.30999999999995</v>
      </c>
      <c r="D19" s="4">
        <f>'Peer Data'!E13*'Peer Data'!G13*'Peer Data'!F13</f>
        <v>76797.743999999992</v>
      </c>
      <c r="E19" s="4">
        <f>D19+'Peer Data'!J13*'Peer Data'!F13</f>
        <v>88250.743999999992</v>
      </c>
      <c r="F19" s="102">
        <f>IF(ISNUMBER('Peer Data'!M13),E19/('Peer Data'!M13*'Peer Data'!F13),"n/d")</f>
        <v>13.420572611825875</v>
      </c>
      <c r="G19" s="102">
        <f>IF(ISNUMBER('Peer Data'!N13),C19/'Peer Data'!N13,"n/d")</f>
        <v>17.915237423494343</v>
      </c>
      <c r="H19" s="102">
        <f>IF(ISNUMBER('Peer Data'!O13),E19/('Peer Data'!O13*'Peer Data'!F13),"n/d")</f>
        <v>1.9015458737341089</v>
      </c>
      <c r="I19" s="21">
        <f>IF(ISNUMBER('Peer Data'!P13),'Peer Data'!P13,"n/d")</f>
        <v>6.628830874006808E-2</v>
      </c>
      <c r="J19" s="21">
        <f>IF(ISNUMBER('Peer Data'!Q13),'Peer Data'!Q13,"n/d")</f>
        <v>0.20019999999999999</v>
      </c>
      <c r="K19" s="21">
        <f>IF(ISNUMBER('Peer Data'!R13),'Peer Data'!R13,"n/d")</f>
        <v>0.1328</v>
      </c>
      <c r="L19"/>
    </row>
    <row r="20" spans="1:12">
      <c r="A20" s="5" t="str">
        <f>'Peer Data'!A14</f>
        <v>General Dynamics</v>
      </c>
      <c r="B20" s="5" t="str">
        <f>'Peer Data'!B14</f>
        <v>GD</v>
      </c>
      <c r="C20" s="101">
        <f>'Peer Data'!E14</f>
        <v>344.71</v>
      </c>
      <c r="D20" s="4">
        <f>'Peer Data'!E14*'Peer Data'!G14*'Peer Data'!F14</f>
        <v>94278.184999999998</v>
      </c>
      <c r="E20" s="4">
        <f>D20+'Peer Data'!J14*'Peer Data'!F14</f>
        <v>97461.184999999998</v>
      </c>
      <c r="F20" s="102">
        <f>IF(ISNUMBER('Peer Data'!M14),E20/('Peer Data'!M14*'Peer Data'!F14),"n/d")</f>
        <v>13.385359333315773</v>
      </c>
      <c r="G20" s="102">
        <f>IF(ISNUMBER('Peer Data'!N14),C20/'Peer Data'!N14,"n/d")</f>
        <v>18.81478186100415</v>
      </c>
      <c r="H20" s="102">
        <f>IF(ISNUMBER('Peer Data'!O14),E20/('Peer Data'!O14*'Peer Data'!F14),"n/d")</f>
        <v>1.6776431498725495</v>
      </c>
      <c r="I20" s="21">
        <f>IF(ISNUMBER('Peer Data'!P14),'Peer Data'!P14,"n/d")</f>
        <v>4.8104434907010107E-2</v>
      </c>
      <c r="J20" s="21">
        <f>IF(ISNUMBER('Peer Data'!Q14),'Peer Data'!Q14,"n/d")</f>
        <v>0.15379999999999999</v>
      </c>
      <c r="K20" s="21">
        <f>IF(ISNUMBER('Peer Data'!R14),'Peer Data'!R14,"n/d")</f>
        <v>0.1038</v>
      </c>
      <c r="L20"/>
    </row>
    <row r="21" spans="1:12">
      <c r="A21" s="5" t="str">
        <f>'Peer Data'!A15</f>
        <v>L3Harris</v>
      </c>
      <c r="B21" s="5" t="str">
        <f>'Peer Data'!B15</f>
        <v>LHX</v>
      </c>
      <c r="C21" s="101">
        <f>'Peer Data'!E15</f>
        <v>247.55</v>
      </c>
      <c r="D21" s="4">
        <f>'Peer Data'!E15*'Peer Data'!G15*'Peer Data'!F15</f>
        <v>46366.115000000005</v>
      </c>
      <c r="E21" s="4">
        <f>D21+'Peer Data'!J15*'Peer Data'!F15</f>
        <v>55844.115000000005</v>
      </c>
      <c r="F21" s="102">
        <f>IF(ISNUMBER('Peer Data'!M15),E21/('Peer Data'!M15*'Peer Data'!F15),"n/d")</f>
        <v>12.215032135986913</v>
      </c>
      <c r="G21" s="102">
        <f>IF(ISNUMBER('Peer Data'!N15),C21/'Peer Data'!N15,"n/d")</f>
        <v>18.689008625147373</v>
      </c>
      <c r="H21" s="102">
        <f>IF(ISNUMBER('Peer Data'!O15),E21/('Peer Data'!O15*'Peer Data'!F15),"n/d")</f>
        <v>2.2367796564135771</v>
      </c>
      <c r="I21" s="21">
        <f>IF(ISNUMBER('Peer Data'!P15),'Peer Data'!P15,"n/d")</f>
        <v>7.3853989813242871E-2</v>
      </c>
      <c r="J21" s="21">
        <f>IF(ISNUMBER('Peer Data'!Q15),'Peer Data'!Q15,"n/d")</f>
        <v>0.25480000000000003</v>
      </c>
      <c r="K21" s="21">
        <f>IF(ISNUMBER('Peer Data'!R15),'Peer Data'!R15,"n/d")</f>
        <v>0.12870000000000001</v>
      </c>
      <c r="L21"/>
    </row>
    <row r="22" spans="1:12">
      <c r="A22" s="100" t="s">
        <v>939</v>
      </c>
      <c r="B22" s="100"/>
      <c r="C22" s="103"/>
      <c r="D22" s="104">
        <f>IF(COUNT(D18:D21)=0,"n/d",MEDIAN(D18:D21))</f>
        <v>85537.964500000002</v>
      </c>
      <c r="E22" s="104">
        <f>IF(COUNT(E18:E21)=0,"n/d",MEDIAN(E18:E21))</f>
        <v>92855.964500000002</v>
      </c>
      <c r="F22" s="105">
        <f>IF(COUNT(F18:F21)=0,"n/d",MEDIAN(F18:F21))</f>
        <v>12.800195734651343</v>
      </c>
      <c r="G22" s="105">
        <f>IF(COUNT(G18:G21)=0,"n/d",MEDIAN(G18:G21))</f>
        <v>18.302123024320856</v>
      </c>
      <c r="H22" s="105">
        <f>IF(COUNT(H18:H21)=0,"n/d",MEDIAN(H18:H21))</f>
        <v>1.8018586086369994</v>
      </c>
      <c r="I22" s="106">
        <f>IF(COUNT(I18:I21)=0,"n/d",MEDIAN(I18:I21))</f>
        <v>6.1604458111236604E-2</v>
      </c>
      <c r="J22" s="106">
        <f>IF(COUNT(J18:J21)=0,"n/d",MEDIAN(J18:J21))</f>
        <v>0.17699999999999999</v>
      </c>
      <c r="K22" s="106">
        <f>IF(COUNT(K18:K21)=0,"n/d",MEDIAN(K18:K21))</f>
        <v>0.1188</v>
      </c>
      <c r="L22"/>
    </row>
    <row r="23" spans="1:12">
      <c r="A23" s="100" t="s">
        <v>940</v>
      </c>
      <c r="B23" s="100"/>
      <c r="C23" s="103"/>
      <c r="D23" s="104">
        <f>IF(COUNT(D18:D21)=0,"n/d",AVERAGE(D18:D21))</f>
        <v>86224.001250000001</v>
      </c>
      <c r="E23" s="104">
        <f>IF(COUNT(E18:E21)=0,"n/d",AVERAGE(E18:E21))</f>
        <v>96439.251250000001</v>
      </c>
      <c r="F23" s="105">
        <f>IF(COUNT(F18:F21)=0,"n/d",AVERAGE(F18:F21))</f>
        <v>12.791404470327944</v>
      </c>
      <c r="G23" s="105">
        <f>IF(COUNT(G18:G21)=0,"n/d",AVERAGE(G18:G21))</f>
        <v>18.135082688562363</v>
      </c>
      <c r="H23" s="105">
        <f>IF(COUNT(H18:H21)=0,"n/d",AVERAGE(H18:H21))</f>
        <v>1.8795350058900313</v>
      </c>
      <c r="I23" s="106">
        <f>IF(COUNT(I18:I21)=0,"n/d",AVERAGE(I18:I21))</f>
        <v>6.1291835235681547E-2</v>
      </c>
      <c r="J23" s="106">
        <f>IF(COUNT(J18:J21)=0,"n/d",AVERAGE(J18:J21))</f>
        <v>0.1817</v>
      </c>
      <c r="K23" s="106">
        <f>IF(COUNT(K18:K21)=0,"n/d",AVERAGE(K18:K21))</f>
        <v>0.11855000000000002</v>
      </c>
      <c r="L23"/>
    </row>
    <row r="24" spans="1:12">
      <c r="A24" s="100" t="s">
        <v>941</v>
      </c>
      <c r="B24" s="100"/>
      <c r="C24" s="103"/>
      <c r="D24" s="104">
        <f>IF(COUNT(D18:D21)=0,"n/d",_xlfn.PERCENTILE.INC(D18:D21,0.25))</f>
        <v>69189.836749999988</v>
      </c>
      <c r="E24" s="104">
        <f>IF(COUNT(E18:E21)=0,"n/d",_xlfn.PERCENTILE.INC(E18:E21,0.25))</f>
        <v>80149.086749999988</v>
      </c>
      <c r="F24" s="105">
        <f>IF(COUNT(F18:F21)=0,"n/d",_xlfn.PERCENTILE.INC(F18:F21,0.25))</f>
        <v>12.197437552035987</v>
      </c>
      <c r="G24" s="105">
        <f>IF(COUNT(G18:G21)=0,"n/d",_xlfn.PERCENTILE.INC(G18:G21,0.25))</f>
        <v>17.716753778771654</v>
      </c>
      <c r="H24" s="105">
        <f>IF(COUNT(H18:H21)=0,"n/d",_xlfn.PERCENTILE.INC(H18:H21,0.25))</f>
        <v>1.6960392951230547</v>
      </c>
      <c r="I24" s="106">
        <f>IF(COUNT(I18:I21)=0,"n/d",_xlfn.PERCENTILE.INC(I18:I21,0.25))</f>
        <v>5.4716564338556373E-2</v>
      </c>
      <c r="J24" s="106">
        <f>IF(COUNT(J18:J21)=0,"n/d",_xlfn.PERCENTILE.INC(J18:J21,0.25))</f>
        <v>0.14484999999999998</v>
      </c>
      <c r="K24" s="106">
        <f>IF(COUNT(K18:K21)=0,"n/d",_xlfn.PERCENTILE.INC(K18:K21,0.25))</f>
        <v>0.107625</v>
      </c>
      <c r="L24"/>
    </row>
    <row r="25" spans="1:12">
      <c r="A25" s="100" t="s">
        <v>942</v>
      </c>
      <c r="B25" s="100"/>
      <c r="C25" s="103"/>
      <c r="D25" s="104">
        <f>IF(COUNT(D18:D21)=0,"n/d",_xlfn.PERCENTILE.INC(D18:D21,0.75))</f>
        <v>102572.129</v>
      </c>
      <c r="E25" s="104">
        <f>IF(COUNT(E18:E21)=0,"n/d",_xlfn.PERCENTILE.INC(E18:E21,0.75))</f>
        <v>109146.129</v>
      </c>
      <c r="F25" s="105">
        <f>IF(COUNT(F18:F21)=0,"n/d",_xlfn.PERCENTILE.INC(F18:F21,0.75))</f>
        <v>13.394162652943297</v>
      </c>
      <c r="G25" s="105">
        <f>IF(COUNT(G18:G21)=0,"n/d",_xlfn.PERCENTILE.INC(G18:G21,0.75))</f>
        <v>18.720451934111566</v>
      </c>
      <c r="H25" s="105">
        <f>IF(COUNT(H18:H21)=0,"n/d",_xlfn.PERCENTILE.INC(H18:H21,0.75))</f>
        <v>1.985354319403976</v>
      </c>
      <c r="I25" s="106">
        <f>IF(COUNT(I18:I21)=0,"n/d",_xlfn.PERCENTILE.INC(I18:I21,0.75))</f>
        <v>6.8179729008361778E-2</v>
      </c>
      <c r="J25" s="106">
        <f>IF(COUNT(J18:J21)=0,"n/d",_xlfn.PERCENTILE.INC(J18:J21,0.75))</f>
        <v>0.21384999999999998</v>
      </c>
      <c r="K25" s="106">
        <f>IF(COUNT(K18:K21)=0,"n/d",_xlfn.PERCENTILE.INC(K18:K21,0.75))</f>
        <v>0.12972500000000001</v>
      </c>
      <c r="L25"/>
    </row>
    <row r="26" spans="1:12">
      <c r="A26" s="5" t="str">
        <f>"RTX (reference)"</f>
        <v>RTX (reference)</v>
      </c>
      <c r="B26" s="5" t="str">
        <f>'Peer Data'!B17</f>
        <v>RTX</v>
      </c>
      <c r="C26" s="101">
        <f>'Peer Data'!E17</f>
        <v>191.6</v>
      </c>
      <c r="D26" s="4">
        <f>'Peer Data'!E17*'Peer Data'!G17*'Peer Data'!F17</f>
        <v>262127.95999999996</v>
      </c>
      <c r="E26" s="4">
        <f>D26+'Peer Data'!J17*'Peer Data'!F17</f>
        <v>290333.95999999996</v>
      </c>
      <c r="F26" s="102">
        <f>IF(ISNUMBER('Peer Data'!M17),E26/('Peer Data'!M17*'Peer Data'!F17),"n/d")</f>
        <v>16.428885206051152</v>
      </c>
      <c r="G26" s="102">
        <f>IF(ISNUMBER('Peer Data'!N17),C26/'Peer Data'!N17,"n/d")</f>
        <v>24.719085237615538</v>
      </c>
      <c r="H26" s="102">
        <f>IF(ISNUMBER('Peer Data'!O17),E26/('Peer Data'!O17*'Peer Data'!F17),"n/d")</f>
        <v>2.8458113290643787</v>
      </c>
      <c r="I26" s="21">
        <f>IF(ISNUMBER('Peer Data'!P17),'Peer Data'!P17,"n/d")</f>
        <v>7.5283352396797287E-2</v>
      </c>
      <c r="J26" s="21">
        <f>IF(ISNUMBER('Peer Data'!Q17),'Peer Data'!Q17,"n/d")</f>
        <v>0.2109556502443039</v>
      </c>
      <c r="K26" s="21">
        <f>IF(ISNUMBER('Peer Data'!R17),'Peer Data'!R17,"n/d")</f>
        <v>0.11771385708481356</v>
      </c>
      <c r="L26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/>
    </row>
    <row r="28" spans="1:12">
      <c r="A28" s="97" t="s">
        <v>944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/>
    </row>
    <row r="29" spans="1:12" ht="33">
      <c r="A29" s="99" t="s">
        <v>945</v>
      </c>
      <c r="B29" s="99" t="s">
        <v>946</v>
      </c>
      <c r="C29" s="99" t="s">
        <v>43</v>
      </c>
      <c r="D29" s="99" t="s">
        <v>45</v>
      </c>
      <c r="E29" s="99" t="s">
        <v>947</v>
      </c>
      <c r="F29" s="99" t="s">
        <v>87</v>
      </c>
      <c r="G29" s="5"/>
      <c r="H29" s="5"/>
      <c r="I29" s="5"/>
      <c r="J29" s="5"/>
      <c r="K29" s="5"/>
      <c r="L29"/>
    </row>
    <row r="30" spans="1:12">
      <c r="A30" s="5" t="s">
        <v>948</v>
      </c>
      <c r="B30" s="5"/>
      <c r="C30" s="42">
        <f>Assumptions!C14</f>
        <v>0.19178082191780821</v>
      </c>
      <c r="D30" s="42">
        <f>1-C30</f>
        <v>0.80821917808219179</v>
      </c>
      <c r="E30" s="5"/>
      <c r="F30" s="71" t="s">
        <v>949</v>
      </c>
      <c r="G30" s="5"/>
      <c r="H30" s="5"/>
      <c r="I30" s="5"/>
      <c r="J30" s="5"/>
      <c r="K30" s="5"/>
      <c r="L30"/>
    </row>
    <row r="31" spans="1:12">
      <c r="A31" s="5" t="s">
        <v>595</v>
      </c>
      <c r="B31" s="15"/>
      <c r="C31" s="6">
        <f>Projections!C11</f>
        <v>32373.43</v>
      </c>
      <c r="D31" s="6">
        <f>Projections!D11</f>
        <v>34691.021999999997</v>
      </c>
      <c r="E31" s="6">
        <f>$C$30*C31+$D$30*D31</f>
        <v>34246.552301369862</v>
      </c>
      <c r="F31" s="71" t="s">
        <v>950</v>
      </c>
      <c r="G31" s="5"/>
      <c r="H31" s="5"/>
      <c r="I31" s="5"/>
      <c r="J31" s="5"/>
      <c r="K31" s="5"/>
      <c r="L31"/>
    </row>
    <row r="32" spans="1:12">
      <c r="A32" s="5" t="s">
        <v>951</v>
      </c>
      <c r="B32" s="15"/>
      <c r="C32" s="6">
        <f>Projections!C25</f>
        <v>5827.2173999999995</v>
      </c>
      <c r="D32" s="6">
        <f>Projections!D25</f>
        <v>6244.3839599999992</v>
      </c>
      <c r="E32" s="6">
        <f>$C$30*C32+$D$30*D32</f>
        <v>6164.3794142465749</v>
      </c>
      <c r="F32" s="71" t="s">
        <v>952</v>
      </c>
      <c r="G32" s="5"/>
      <c r="H32" s="5"/>
      <c r="I32" s="5"/>
      <c r="J32" s="5"/>
      <c r="K32" s="5"/>
      <c r="L32"/>
    </row>
    <row r="33" spans="1:12">
      <c r="A33" s="5" t="s">
        <v>953</v>
      </c>
      <c r="B33" s="15">
        <f>Historical!F64/Historical!F41</f>
        <v>2.8911114054841702E-2</v>
      </c>
      <c r="C33" s="6">
        <f>C31*$B33</f>
        <v>935.951927076434</v>
      </c>
      <c r="D33" s="6">
        <f>D31*$B33</f>
        <v>1002.9560937210226</v>
      </c>
      <c r="E33" s="6">
        <f>$C$30*C33+$D$30*D33</f>
        <v>990.10597957000573</v>
      </c>
      <c r="F33" s="71" t="s">
        <v>954</v>
      </c>
      <c r="G33" s="5"/>
      <c r="H33" s="5"/>
      <c r="I33" s="5"/>
      <c r="J33" s="5"/>
      <c r="K33" s="5"/>
      <c r="L33"/>
    </row>
    <row r="34" spans="1:12">
      <c r="A34" s="98" t="s">
        <v>955</v>
      </c>
      <c r="B34" s="65"/>
      <c r="C34" s="14">
        <f>C32+C33</f>
        <v>6763.1693270764335</v>
      </c>
      <c r="D34" s="14">
        <f>D32+D33</f>
        <v>7247.3400537210218</v>
      </c>
      <c r="E34" s="14">
        <f>E32+E33</f>
        <v>7154.4853938165807</v>
      </c>
      <c r="F34" s="71"/>
      <c r="G34" s="5"/>
      <c r="H34" s="5"/>
      <c r="I34" s="5"/>
      <c r="J34" s="5"/>
      <c r="K34" s="5"/>
      <c r="L34"/>
    </row>
    <row r="35" spans="1:12">
      <c r="A35" s="5" t="s">
        <v>600</v>
      </c>
      <c r="B35" s="15"/>
      <c r="C35" s="6">
        <f>Projections!C16</f>
        <v>36323.307692307695</v>
      </c>
      <c r="D35" s="6">
        <f>Projections!D16</f>
        <v>39678.741046153853</v>
      </c>
      <c r="E35" s="6">
        <f>$C$30*C35+$D$30*D35</f>
        <v>39035.233279662811</v>
      </c>
      <c r="F35" s="71" t="s">
        <v>950</v>
      </c>
      <c r="G35" s="5"/>
      <c r="H35" s="5"/>
      <c r="I35" s="5"/>
      <c r="J35" s="5"/>
      <c r="K35" s="5"/>
      <c r="L35"/>
    </row>
    <row r="36" spans="1:12">
      <c r="A36" s="5" t="s">
        <v>956</v>
      </c>
      <c r="B36" s="15"/>
      <c r="C36" s="6">
        <f>Projections!C26</f>
        <v>2905.8646153846157</v>
      </c>
      <c r="D36" s="6">
        <f>Projections!D26</f>
        <v>3571.0866941538466</v>
      </c>
      <c r="E36" s="6">
        <f>$C$30*C36+$D$30*D36</f>
        <v>3443.5098571296103</v>
      </c>
      <c r="F36" s="71" t="s">
        <v>952</v>
      </c>
      <c r="G36" s="5"/>
      <c r="H36" s="5"/>
      <c r="I36" s="5"/>
      <c r="J36" s="5"/>
      <c r="K36" s="5"/>
      <c r="L36"/>
    </row>
    <row r="37" spans="1:12">
      <c r="A37" s="5" t="s">
        <v>957</v>
      </c>
      <c r="B37" s="15">
        <f>Historical!F65/Historical!F42</f>
        <v>2.3878964637258478E-2</v>
      </c>
      <c r="C37" s="6">
        <f>C35*$B37</f>
        <v>867.36297989287425</v>
      </c>
      <c r="D37" s="6">
        <f>D35*$B37</f>
        <v>947.48725429204433</v>
      </c>
      <c r="E37" s="6">
        <f>$C$30*C37+$D$30*D37</f>
        <v>932.12095509220353</v>
      </c>
      <c r="F37" s="71" t="s">
        <v>954</v>
      </c>
      <c r="G37" s="5"/>
      <c r="H37" s="5"/>
      <c r="I37" s="5"/>
      <c r="J37" s="5"/>
      <c r="K37" s="5"/>
      <c r="L37"/>
    </row>
    <row r="38" spans="1:12">
      <c r="A38" s="98" t="s">
        <v>958</v>
      </c>
      <c r="B38" s="65"/>
      <c r="C38" s="14">
        <f>C36+C37</f>
        <v>3773.2275952774899</v>
      </c>
      <c r="D38" s="14">
        <f>D36+D37</f>
        <v>4518.5739484458909</v>
      </c>
      <c r="E38" s="14">
        <f>E36+E37</f>
        <v>4375.6308122218143</v>
      </c>
      <c r="F38" s="71"/>
      <c r="G38" s="5"/>
      <c r="H38" s="5"/>
      <c r="I38" s="5"/>
      <c r="J38" s="5"/>
      <c r="K38" s="5"/>
      <c r="L38"/>
    </row>
    <row r="39" spans="1:12">
      <c r="A39" s="5" t="s">
        <v>601</v>
      </c>
      <c r="B39" s="15"/>
      <c r="C39" s="6">
        <f>Projections!C17</f>
        <v>31408.160000000003</v>
      </c>
      <c r="D39" s="6">
        <f>Projections!D17</f>
        <v>33606.731200000009</v>
      </c>
      <c r="E39" s="6">
        <f>$C$30*C39+$D$30*D39</f>
        <v>33185.087408219188</v>
      </c>
      <c r="F39" s="71" t="s">
        <v>950</v>
      </c>
      <c r="G39" s="5"/>
      <c r="H39" s="5"/>
      <c r="I39" s="5"/>
      <c r="J39" s="5"/>
      <c r="K39" s="5"/>
      <c r="L39"/>
    </row>
    <row r="40" spans="1:12">
      <c r="A40" s="5" t="s">
        <v>959</v>
      </c>
      <c r="B40" s="15"/>
      <c r="C40" s="6">
        <f>Projections!C27</f>
        <v>4083.0608000000007</v>
      </c>
      <c r="D40" s="6">
        <f>Projections!D27</f>
        <v>4368.8750560000017</v>
      </c>
      <c r="E40" s="6">
        <f>$C$30*C40+$D$30*D40</f>
        <v>4314.0613630684948</v>
      </c>
      <c r="F40" s="71" t="s">
        <v>952</v>
      </c>
      <c r="G40" s="5"/>
      <c r="H40" s="5"/>
      <c r="I40" s="5"/>
      <c r="J40" s="5"/>
      <c r="K40" s="5"/>
      <c r="L40"/>
    </row>
    <row r="41" spans="1:12">
      <c r="A41" s="5" t="s">
        <v>960</v>
      </c>
      <c r="B41" s="15">
        <f>Historical!F66/Historical!F43</f>
        <v>1.9327461398566486E-2</v>
      </c>
      <c r="C41" s="6">
        <f>C39*$B41</f>
        <v>607.04000000000008</v>
      </c>
      <c r="D41" s="6">
        <f>D39*$B41</f>
        <v>649.53280000000018</v>
      </c>
      <c r="E41" s="6">
        <f>$C$30*C41+$D$30*D41</f>
        <v>641.38349589041104</v>
      </c>
      <c r="F41" s="71" t="s">
        <v>954</v>
      </c>
      <c r="G41" s="5"/>
      <c r="H41" s="5"/>
      <c r="I41" s="5"/>
      <c r="J41" s="5"/>
      <c r="K41" s="5"/>
      <c r="L41"/>
    </row>
    <row r="42" spans="1:12">
      <c r="A42" s="98" t="s">
        <v>961</v>
      </c>
      <c r="B42" s="65"/>
      <c r="C42" s="14">
        <f>C40+C41</f>
        <v>4690.1008000000011</v>
      </c>
      <c r="D42" s="14">
        <f>D40+D41</f>
        <v>5018.4078560000016</v>
      </c>
      <c r="E42" s="14">
        <f>E40+E41</f>
        <v>4955.4448589589056</v>
      </c>
      <c r="F42" s="71"/>
      <c r="G42" s="5"/>
      <c r="H42" s="5"/>
      <c r="I42" s="5"/>
      <c r="J42" s="5"/>
      <c r="K42" s="5"/>
      <c r="L42"/>
    </row>
    <row r="43" spans="1:12">
      <c r="A43" s="5" t="s">
        <v>962</v>
      </c>
      <c r="B43" s="15"/>
      <c r="C43" s="6">
        <f>Projections!C29+Projections!C30</f>
        <v>-146.03620535046036</v>
      </c>
      <c r="D43" s="6">
        <f>Projections!D29+Projections!D30</f>
        <v>-157.51954050461822</v>
      </c>
      <c r="E43" s="6">
        <f>$C$30*C43+$D$30*D43</f>
        <v>-155.31725705039617</v>
      </c>
      <c r="F43" s="71" t="s">
        <v>963</v>
      </c>
      <c r="G43" s="5"/>
      <c r="H43" s="5"/>
      <c r="I43" s="5"/>
      <c r="J43" s="5"/>
      <c r="K43" s="5"/>
      <c r="L43"/>
    </row>
    <row r="44" spans="1:12">
      <c r="A44" s="5" t="s">
        <v>964</v>
      </c>
      <c r="B44" s="15">
        <f>Historical!F67/Historical!F9</f>
        <v>1.060912158730517E-3</v>
      </c>
      <c r="C44" s="6">
        <f>Projections!C20*$B44</f>
        <v>103.2877239141133</v>
      </c>
      <c r="D44" s="6">
        <f>Projections!D20*$B44</f>
        <v>111.40959717266242</v>
      </c>
      <c r="E44" s="6">
        <f>$C$30*C44+$D$30*D44</f>
        <v>109.8519776436256</v>
      </c>
      <c r="F44" s="71" t="s">
        <v>965</v>
      </c>
      <c r="G44" s="5"/>
      <c r="H44" s="5"/>
      <c r="I44" s="5"/>
      <c r="J44" s="5"/>
      <c r="K44" s="5"/>
      <c r="L44"/>
    </row>
    <row r="45" spans="1:12">
      <c r="A45" s="98" t="s">
        <v>966</v>
      </c>
      <c r="B45" s="65"/>
      <c r="C45" s="14">
        <f>C43+C44</f>
        <v>-42.748481436347063</v>
      </c>
      <c r="D45" s="14">
        <f>D43+D44</f>
        <v>-46.109943331955805</v>
      </c>
      <c r="E45" s="14">
        <f>E43+E44</f>
        <v>-45.465279406770563</v>
      </c>
      <c r="F45" s="71"/>
      <c r="G45" s="5"/>
      <c r="H45" s="5"/>
      <c r="I45" s="5"/>
      <c r="J45" s="5"/>
      <c r="K45" s="5"/>
      <c r="L45"/>
    </row>
    <row r="46" spans="1:12">
      <c r="A46" s="112" t="s">
        <v>967</v>
      </c>
      <c r="B46" s="113"/>
      <c r="C46" s="114">
        <f>C34+C38+C42+C45</f>
        <v>15183.749240917577</v>
      </c>
      <c r="D46" s="114">
        <f>D34+D38+D42+D45</f>
        <v>16738.211914834959</v>
      </c>
      <c r="E46" s="114">
        <f>E34+E38+E42+E45</f>
        <v>16440.095785590529</v>
      </c>
      <c r="F46" s="71"/>
      <c r="G46" s="5"/>
      <c r="H46" s="5"/>
      <c r="I46" s="5"/>
      <c r="J46" s="5"/>
      <c r="K46" s="5"/>
      <c r="L46"/>
    </row>
    <row r="47" spans="1:12">
      <c r="A47" s="117" t="s">
        <v>968</v>
      </c>
      <c r="B47" s="118"/>
      <c r="C47" s="119">
        <f>Projections!C31</f>
        <v>690.97952000000009</v>
      </c>
      <c r="D47" s="119">
        <f>Projections!D31</f>
        <v>672.13462400000014</v>
      </c>
      <c r="E47" s="119">
        <f>$C$30*C47+$D$30*D47</f>
        <v>675.7487136438358</v>
      </c>
      <c r="F47" s="120" t="s">
        <v>969</v>
      </c>
      <c r="G47" s="5"/>
      <c r="H47" s="5"/>
      <c r="I47" s="5"/>
      <c r="J47" s="5"/>
      <c r="K47" s="5"/>
      <c r="L47"/>
    </row>
    <row r="48" spans="1:12">
      <c r="A48" s="117" t="s">
        <v>970</v>
      </c>
      <c r="B48" s="118"/>
      <c r="C48" s="119">
        <f>Projections!C62</f>
        <v>15882.844921341502</v>
      </c>
      <c r="D48" s="119">
        <f>Projections!D62</f>
        <v>17419.014256534974</v>
      </c>
      <c r="E48" s="119">
        <f>$C$30*C48+$D$30*D48</f>
        <v>17124.406438826638</v>
      </c>
      <c r="F48" s="120" t="s">
        <v>971</v>
      </c>
      <c r="G48" s="5"/>
      <c r="H48" s="5"/>
      <c r="I48" s="5"/>
      <c r="J48" s="5"/>
      <c r="K48" s="5"/>
      <c r="L48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/>
    </row>
    <row r="50" spans="1:12">
      <c r="A50" s="97" t="s">
        <v>972</v>
      </c>
      <c r="B50" s="97"/>
      <c r="C50" s="97"/>
      <c r="D50" s="97"/>
      <c r="E50" s="97"/>
      <c r="F50" s="97"/>
      <c r="G50" s="97"/>
      <c r="H50" s="97"/>
      <c r="I50" s="97"/>
      <c r="J50" s="97"/>
      <c r="K50" s="97"/>
      <c r="L50"/>
    </row>
    <row r="51" spans="1:12" ht="26.25" customHeight="1">
      <c r="A51" s="99" t="s">
        <v>28</v>
      </c>
      <c r="B51" s="99" t="s">
        <v>973</v>
      </c>
      <c r="C51" s="99" t="s">
        <v>974</v>
      </c>
      <c r="D51" s="99" t="s">
        <v>975</v>
      </c>
      <c r="E51" s="99" t="s">
        <v>976</v>
      </c>
      <c r="F51" s="99" t="s">
        <v>977</v>
      </c>
      <c r="G51" s="99" t="s">
        <v>978</v>
      </c>
      <c r="H51" s="99" t="s">
        <v>979</v>
      </c>
      <c r="I51" s="5"/>
      <c r="J51" s="5"/>
      <c r="K51" s="5"/>
      <c r="L51"/>
    </row>
    <row r="52" spans="1:12">
      <c r="A52" s="5" t="s">
        <v>980</v>
      </c>
      <c r="B52" s="4">
        <f>E34</f>
        <v>7154.4853938165807</v>
      </c>
      <c r="C52" s="102">
        <f>F14</f>
        <v>14.567018530580341</v>
      </c>
      <c r="D52" s="102">
        <f>F12</f>
        <v>15.590471932114884</v>
      </c>
      <c r="E52" s="102">
        <f>F15</f>
        <v>23.399813894895292</v>
      </c>
      <c r="F52" s="4">
        <f>IF(ISNUMBER(C52),$B52*C52,"n/d")</f>
        <v>104219.52130849252</v>
      </c>
      <c r="G52" s="4">
        <f>IF(ISNUMBER(D52),$B52*D52,"n/d")</f>
        <v>111541.8037210233</v>
      </c>
      <c r="H52" s="4">
        <f>IF(ISNUMBER(E52),$B52*E52,"n/d")</f>
        <v>167413.62672905464</v>
      </c>
      <c r="I52" s="5"/>
      <c r="J52" s="5"/>
      <c r="K52" s="5"/>
      <c r="L52"/>
    </row>
    <row r="53" spans="1:12">
      <c r="A53" s="5" t="s">
        <v>981</v>
      </c>
      <c r="B53" s="4">
        <f>E38</f>
        <v>4375.6308122218143</v>
      </c>
      <c r="C53" s="102">
        <f>F14</f>
        <v>14.567018530580341</v>
      </c>
      <c r="D53" s="102">
        <f>F12</f>
        <v>15.590471932114884</v>
      </c>
      <c r="E53" s="102">
        <f>F15</f>
        <v>23.399813894895292</v>
      </c>
      <c r="F53" s="4">
        <f>IF(ISNUMBER(C53),$B53*C53,"n/d")</f>
        <v>63739.895124613482</v>
      </c>
      <c r="G53" s="4">
        <f>IF(ISNUMBER(D53),$B53*D53,"n/d")</f>
        <v>68218.149363241246</v>
      </c>
      <c r="H53" s="4">
        <f>IF(ISNUMBER(E53),$B53*E53,"n/d")</f>
        <v>102388.94667875998</v>
      </c>
      <c r="I53" s="5"/>
      <c r="J53" s="5"/>
      <c r="K53" s="5"/>
      <c r="L53"/>
    </row>
    <row r="54" spans="1:12">
      <c r="A54" s="5" t="s">
        <v>982</v>
      </c>
      <c r="B54" s="4">
        <f>E42</f>
        <v>4955.4448589589056</v>
      </c>
      <c r="C54" s="102">
        <f>F24</f>
        <v>12.197437552035987</v>
      </c>
      <c r="D54" s="102">
        <f>F22</f>
        <v>12.800195734651343</v>
      </c>
      <c r="E54" s="102">
        <f>F25</f>
        <v>13.394162652943297</v>
      </c>
      <c r="F54" s="4">
        <f>IF(ISNUMBER(C54),$B54*C54,"n/d")</f>
        <v>60443.729209709032</v>
      </c>
      <c r="G54" s="4">
        <f>IF(ISNUMBER(D54),$B54*D54,"n/d")</f>
        <v>63430.66414694571</v>
      </c>
      <c r="H54" s="4">
        <f>IF(ISNUMBER(E54),$B54*E54,"n/d")</f>
        <v>66374.034458587237</v>
      </c>
      <c r="I54" s="5"/>
      <c r="J54" s="5"/>
      <c r="K54" s="5"/>
      <c r="L54"/>
    </row>
    <row r="55" spans="1:12">
      <c r="A55" s="5" t="s">
        <v>983</v>
      </c>
      <c r="B55" s="4">
        <f>E45</f>
        <v>-45.465279406770563</v>
      </c>
      <c r="C55" s="102">
        <f>IF(COUNT(C52:C54)=3,SUMPRODUCT($B$52:$B$54,C52:C54)/SUM($B$52:$B$54),"n/d")</f>
        <v>13.854738989003433</v>
      </c>
      <c r="D55" s="102">
        <f>IF(COUNT(D52:D54)=3,SUMPRODUCT($B$52:$B$54,D52:D54)/SUM($B$52:$B$54),"n/d")</f>
        <v>14.751734337241381</v>
      </c>
      <c r="E55" s="102">
        <f>IF(COUNT(E52:E54)=3,SUMPRODUCT($B$52:$B$54,E52:E54)/SUM($B$52:$B$54),"n/d")</f>
        <v>20.392184805901657</v>
      </c>
      <c r="F55" s="4">
        <f>IF(ISNUMBER(C55),$B55*C55,"n/d")</f>
        <v>-629.90957924291899</v>
      </c>
      <c r="G55" s="4">
        <f>IF(ISNUMBER(D55),$B55*D55,"n/d")</f>
        <v>-670.69172337713076</v>
      </c>
      <c r="H55" s="4">
        <f>IF(ISNUMBER(E55),$B55*E55,"n/d")</f>
        <v>-927.13637991482017</v>
      </c>
      <c r="I55" s="5"/>
      <c r="J55" s="5"/>
      <c r="K55" s="5"/>
      <c r="L55"/>
    </row>
    <row r="56" spans="1:12">
      <c r="A56" s="112" t="s">
        <v>856</v>
      </c>
      <c r="B56" s="115">
        <f>SUM(B52:B55)</f>
        <v>16440.095785590529</v>
      </c>
      <c r="C56" s="116"/>
      <c r="D56" s="116"/>
      <c r="E56" s="116"/>
      <c r="F56" s="115">
        <f>IF(COUNT(F52:F55)=4,SUM(F52:F55),"n/d")</f>
        <v>227773.23606357211</v>
      </c>
      <c r="G56" s="115">
        <f>IF(COUNT(G52:G55)=4,SUM(G52:G55),"n/d")</f>
        <v>242519.9255078331</v>
      </c>
      <c r="H56" s="115">
        <f>IF(COUNT(H52:H55)=4,SUM(H52:H55),"n/d")</f>
        <v>335249.47148648702</v>
      </c>
      <c r="I56" s="5"/>
      <c r="J56" s="5"/>
      <c r="K56" s="5"/>
      <c r="L56"/>
    </row>
    <row r="57" spans="1:12">
      <c r="A57" s="5" t="s">
        <v>858</v>
      </c>
      <c r="B57" s="4">
        <f>DCF!C39</f>
        <v>-37379</v>
      </c>
      <c r="C57" s="107"/>
      <c r="D57" s="107"/>
      <c r="E57" s="107"/>
      <c r="F57" s="4"/>
      <c r="G57" s="4"/>
      <c r="H57" s="4"/>
      <c r="I57" s="5"/>
      <c r="J57" s="5"/>
      <c r="K57" s="5"/>
      <c r="L57"/>
    </row>
    <row r="58" spans="1:12">
      <c r="A58" s="5" t="s">
        <v>984</v>
      </c>
      <c r="B58" s="4">
        <f>DCF!C40</f>
        <v>9173</v>
      </c>
      <c r="C58" s="107"/>
      <c r="D58" s="107"/>
      <c r="E58" s="107"/>
      <c r="F58" s="4"/>
      <c r="G58" s="4"/>
      <c r="H58" s="4"/>
      <c r="I58" s="5"/>
      <c r="J58" s="5"/>
      <c r="K58" s="5"/>
      <c r="L58"/>
    </row>
    <row r="59" spans="1:12">
      <c r="A59" s="5" t="s">
        <v>985</v>
      </c>
      <c r="B59" s="4">
        <f>DCF!C41</f>
        <v>-1742</v>
      </c>
      <c r="C59" s="107"/>
      <c r="D59" s="107"/>
      <c r="E59" s="107"/>
      <c r="F59" s="4"/>
      <c r="G59" s="4"/>
      <c r="H59" s="4"/>
      <c r="I59" s="5"/>
      <c r="J59" s="5"/>
      <c r="K59" s="5"/>
      <c r="L59"/>
    </row>
    <row r="60" spans="1:12">
      <c r="A60" s="5" t="s">
        <v>986</v>
      </c>
      <c r="B60" s="4">
        <f>DCF!C43</f>
        <v>100</v>
      </c>
      <c r="C60" s="107"/>
      <c r="D60" s="107"/>
      <c r="E60" s="107"/>
      <c r="F60" s="4"/>
      <c r="G60" s="4"/>
      <c r="H60" s="4"/>
      <c r="I60" s="5"/>
      <c r="J60" s="5"/>
      <c r="K60" s="5"/>
      <c r="L60"/>
    </row>
    <row r="61" spans="1:12">
      <c r="A61" s="112" t="s">
        <v>868</v>
      </c>
      <c r="B61" s="116"/>
      <c r="C61" s="116"/>
      <c r="D61" s="116"/>
      <c r="E61" s="116"/>
      <c r="F61" s="115">
        <f>IF(ISNUMBER(F56),F56+SUM($B$57:$B$60),"n/d")</f>
        <v>197925.23606357211</v>
      </c>
      <c r="G61" s="115">
        <f>IF(ISNUMBER(G56),G56+SUM($B$57:$B$60),"n/d")</f>
        <v>212671.9255078331</v>
      </c>
      <c r="H61" s="115">
        <f>IF(ISNUMBER(H56),H56+SUM($B$57:$B$60),"n/d")</f>
        <v>305401.47148648702</v>
      </c>
      <c r="I61" s="5"/>
      <c r="J61" s="5"/>
      <c r="K61" s="5"/>
      <c r="L61"/>
    </row>
    <row r="62" spans="1:12">
      <c r="A62" s="5" t="s">
        <v>987</v>
      </c>
      <c r="B62" s="108">
        <f>WACC!B7</f>
        <v>1368.1</v>
      </c>
      <c r="C62" s="107"/>
      <c r="D62" s="107"/>
      <c r="E62" s="107"/>
      <c r="F62" s="107"/>
      <c r="G62" s="107"/>
      <c r="H62" s="107"/>
      <c r="I62" s="5"/>
      <c r="J62" s="5"/>
      <c r="K62" s="5"/>
      <c r="L62"/>
    </row>
    <row r="63" spans="1:12">
      <c r="A63" s="98" t="s">
        <v>30</v>
      </c>
      <c r="B63" s="110"/>
      <c r="C63" s="110"/>
      <c r="D63" s="110"/>
      <c r="E63" s="110"/>
      <c r="F63" s="111">
        <f>IF(ISNUMBER(F61),F61/$B$62,"n/d")</f>
        <v>144.67161469451949</v>
      </c>
      <c r="G63" s="111">
        <f>IF(ISNUMBER(G61),G61/$B$62,"n/d")</f>
        <v>155.45057050495805</v>
      </c>
      <c r="H63" s="111">
        <f>IF(ISNUMBER(H61),H61/$B$62,"n/d")</f>
        <v>223.23037167347931</v>
      </c>
      <c r="I63" s="5"/>
      <c r="J63" s="5"/>
      <c r="K63" s="5"/>
      <c r="L63"/>
    </row>
    <row r="64" spans="1:12">
      <c r="A64" s="5" t="s">
        <v>988</v>
      </c>
      <c r="B64" s="107"/>
      <c r="C64" s="107"/>
      <c r="D64" s="107"/>
      <c r="E64" s="107"/>
      <c r="F64" s="21">
        <f>IF(ISNUMBER(F63),F63/WACC!$B$6-1,"n/d")</f>
        <v>-0.24492894209540972</v>
      </c>
      <c r="G64" s="21">
        <f>IF(ISNUMBER(G63),G63/WACC!$B$6-1,"n/d")</f>
        <v>-0.18867134391984308</v>
      </c>
      <c r="H64" s="21">
        <f>IF(ISNUMBER(H63),H63/WACC!$B$6-1,"n/d")</f>
        <v>0.16508544714759554</v>
      </c>
      <c r="I64" s="5"/>
      <c r="J64" s="5"/>
      <c r="K64" s="5"/>
      <c r="L64"/>
    </row>
    <row r="65" spans="1:12">
      <c r="A65" s="5" t="s">
        <v>989</v>
      </c>
      <c r="B65" s="107"/>
      <c r="C65" s="107"/>
      <c r="D65" s="107"/>
      <c r="E65" s="107"/>
      <c r="F65" s="102">
        <f>IF(ISNUMBER(F56),F56/$B$56,"n/d")</f>
        <v>13.854738989003431</v>
      </c>
      <c r="G65" s="102">
        <f>IF(ISNUMBER(G56),G56/$B$56,"n/d")</f>
        <v>14.751734337241381</v>
      </c>
      <c r="H65" s="102">
        <f>IF(ISNUMBER(H56),H56/$B$56,"n/d")</f>
        <v>20.392184805901657</v>
      </c>
      <c r="I65" s="5"/>
      <c r="J65" s="5"/>
      <c r="K65" s="5"/>
      <c r="L6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/>
    </row>
    <row r="67" spans="1:12">
      <c r="A67" s="97" t="s">
        <v>990</v>
      </c>
      <c r="B67" s="97"/>
      <c r="C67" s="97"/>
      <c r="D67" s="97"/>
      <c r="E67" s="97"/>
      <c r="F67" s="97"/>
      <c r="G67" s="97"/>
      <c r="H67" s="97"/>
      <c r="I67" s="97"/>
      <c r="J67" s="97"/>
      <c r="K67" s="97"/>
      <c r="L67"/>
    </row>
    <row r="68" spans="1:12">
      <c r="A68" s="71" t="s">
        <v>991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/>
    </row>
    <row r="69" spans="1:12">
      <c r="A69" s="71" t="s">
        <v>992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/>
    </row>
    <row r="70" spans="1:12">
      <c r="A70" s="71" t="s">
        <v>993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/>
    </row>
    <row r="71" spans="1:12">
      <c r="A71" s="71" t="s">
        <v>994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/>
    </row>
    <row r="72" spans="1:12">
      <c r="A72"/>
      <c r="B72"/>
      <c r="C72"/>
      <c r="D72"/>
      <c r="E72"/>
      <c r="F72"/>
      <c r="G72"/>
      <c r="H72"/>
      <c r="I72"/>
      <c r="J72"/>
      <c r="K72"/>
      <c r="L72"/>
    </row>
    <row r="73" spans="1:12">
      <c r="A73"/>
      <c r="B73"/>
      <c r="C73"/>
      <c r="D73"/>
      <c r="E73"/>
      <c r="F73"/>
      <c r="G73"/>
      <c r="H73"/>
      <c r="I73"/>
      <c r="J73"/>
      <c r="K73"/>
      <c r="L73"/>
    </row>
    <row r="74" spans="1:12">
      <c r="A74"/>
      <c r="B74"/>
      <c r="C74"/>
      <c r="D74"/>
      <c r="E74"/>
      <c r="F74"/>
      <c r="G74"/>
      <c r="H74"/>
      <c r="I74"/>
      <c r="J74"/>
      <c r="K74"/>
      <c r="L74"/>
    </row>
    <row r="75" spans="1:12">
      <c r="A75"/>
      <c r="B75"/>
      <c r="C75"/>
      <c r="D75"/>
      <c r="E75"/>
      <c r="F75"/>
      <c r="G75"/>
      <c r="H75"/>
      <c r="I75"/>
      <c r="J75"/>
      <c r="K75"/>
      <c r="L75"/>
    </row>
    <row r="76" spans="1:12">
      <c r="A76"/>
      <c r="B76"/>
      <c r="C76"/>
      <c r="D76"/>
      <c r="E76"/>
      <c r="F76"/>
      <c r="G76"/>
      <c r="H76"/>
      <c r="I76"/>
      <c r="J76"/>
      <c r="K76"/>
      <c r="L76"/>
    </row>
    <row r="77" spans="1:12">
      <c r="A77"/>
      <c r="B77"/>
      <c r="C77"/>
      <c r="D77"/>
      <c r="E77"/>
      <c r="F77"/>
      <c r="G77"/>
      <c r="H77"/>
      <c r="I77"/>
      <c r="J77"/>
      <c r="K77"/>
      <c r="L77"/>
    </row>
    <row r="78" spans="1:12">
      <c r="A78"/>
      <c r="B78"/>
      <c r="C78"/>
      <c r="D78"/>
      <c r="E78"/>
      <c r="F78"/>
      <c r="G78"/>
      <c r="H78"/>
      <c r="I78"/>
      <c r="J78"/>
      <c r="K78"/>
      <c r="L78"/>
    </row>
    <row r="79" spans="1:12">
      <c r="A79"/>
      <c r="B79"/>
      <c r="C79"/>
      <c r="D79"/>
      <c r="E79"/>
      <c r="F79"/>
      <c r="G79"/>
      <c r="H79"/>
      <c r="I79"/>
      <c r="J79"/>
      <c r="K79"/>
      <c r="L79"/>
    </row>
    <row r="80" spans="1:12">
      <c r="A80"/>
      <c r="B80"/>
      <c r="C80"/>
      <c r="D80"/>
      <c r="E80"/>
      <c r="F80"/>
      <c r="G80"/>
      <c r="H80"/>
      <c r="I80"/>
      <c r="J80"/>
      <c r="K80"/>
      <c r="L80"/>
    </row>
  </sheetData>
  <printOptions horizontalCentered="1" gridLinesSet="0"/>
  <pageMargins left="0.5" right="0.5" top="0.5" bottom="0.5" header="0.25" footer="0.25"/>
  <pageSetup firstPageNumber="0" orientation="landscape" horizontalDpi="0" verticalDpi="0" copies="0"/>
  <headerFooter>
    <oddFooter>&amp;C&amp;"Arial"&amp;8Point Alpha Capital | PA-RTX-Model | Sum-of-Parts |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BC4AA-BB39-44A7-A086-C78BE5E095D4}">
  <sheetPr>
    <tabColor rgb="FFA6A6A6"/>
    <pageSetUpPr fitToPage="1"/>
  </sheetPr>
  <dimension ref="A1:Z4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1" style="1" customWidth="1"/>
    <col min="2" max="2" width="9.5703125" style="1" customWidth="1"/>
    <col min="3" max="3" width="15.28515625" style="1" customWidth="1"/>
    <col min="4" max="4" width="9.5703125" style="1" customWidth="1"/>
    <col min="5" max="18" width="11.85546875" style="1" customWidth="1"/>
    <col min="19" max="19" width="60" style="1" customWidth="1"/>
    <col min="20" max="26" width="9.140625" style="1"/>
  </cols>
  <sheetData>
    <row r="1" spans="1:19" ht="15.75">
      <c r="A1" s="70" t="s">
        <v>995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>
      <c r="A2" s="71" t="s">
        <v>996</v>
      </c>
    </row>
    <row r="5" spans="1:19" ht="48" customHeight="1">
      <c r="A5" s="73" t="s">
        <v>927</v>
      </c>
      <c r="B5" s="73" t="s">
        <v>928</v>
      </c>
      <c r="C5" s="73" t="s">
        <v>997</v>
      </c>
      <c r="D5" s="73" t="s">
        <v>998</v>
      </c>
      <c r="E5" s="73" t="s">
        <v>999</v>
      </c>
      <c r="F5" s="73" t="s">
        <v>1000</v>
      </c>
      <c r="G5" s="73" t="s">
        <v>987</v>
      </c>
      <c r="H5" s="73" t="s">
        <v>1001</v>
      </c>
      <c r="I5" s="73" t="s">
        <v>1002</v>
      </c>
      <c r="J5" s="73" t="s">
        <v>1003</v>
      </c>
      <c r="K5" s="73" t="s">
        <v>402</v>
      </c>
      <c r="L5" s="73" t="s">
        <v>1004</v>
      </c>
      <c r="M5" s="73" t="s">
        <v>1005</v>
      </c>
      <c r="N5" s="73" t="s">
        <v>1006</v>
      </c>
      <c r="O5" s="73" t="s">
        <v>1007</v>
      </c>
      <c r="P5" s="73" t="s">
        <v>1008</v>
      </c>
      <c r="Q5" s="73" t="s">
        <v>936</v>
      </c>
      <c r="R5" s="73" t="s">
        <v>937</v>
      </c>
      <c r="S5" s="73" t="s">
        <v>1009</v>
      </c>
    </row>
    <row r="6" spans="1:19" ht="33">
      <c r="A6" s="75" t="s">
        <v>1010</v>
      </c>
      <c r="B6" s="75" t="s">
        <v>1011</v>
      </c>
      <c r="C6" s="75" t="s">
        <v>1012</v>
      </c>
      <c r="D6" s="75" t="s">
        <v>1013</v>
      </c>
      <c r="E6" s="76">
        <v>295.88</v>
      </c>
      <c r="F6" s="77">
        <f>1</f>
        <v>1</v>
      </c>
      <c r="G6" s="78">
        <v>1041</v>
      </c>
      <c r="H6" s="79">
        <v>19326</v>
      </c>
      <c r="I6" s="79">
        <v>8764</v>
      </c>
      <c r="J6" s="80">
        <f>H6-I6</f>
        <v>10562</v>
      </c>
      <c r="K6" s="81">
        <v>46295</v>
      </c>
      <c r="L6" s="82" t="s">
        <v>1014</v>
      </c>
      <c r="M6" s="189">
        <f>K28*I28+(1-K28)*J28</f>
        <v>13614.342465753425</v>
      </c>
      <c r="N6" s="190">
        <f>K28*G28+(1-K28)*H28</f>
        <v>8.8836986301369851</v>
      </c>
      <c r="O6" s="189">
        <f>K28*E28+(1-K28)*F28</f>
        <v>54853.698630136983</v>
      </c>
      <c r="P6" s="191">
        <f>F28/E28-1</f>
        <v>0.11040508339952337</v>
      </c>
      <c r="Q6" s="83">
        <v>0.30070000000000002</v>
      </c>
      <c r="R6" s="83">
        <v>0.1968</v>
      </c>
      <c r="S6" s="84" t="s">
        <v>1015</v>
      </c>
    </row>
    <row r="7" spans="1:19" ht="44.25">
      <c r="A7" s="75" t="s">
        <v>1016</v>
      </c>
      <c r="B7" s="75" t="s">
        <v>1017</v>
      </c>
      <c r="C7" s="75" t="s">
        <v>1012</v>
      </c>
      <c r="D7" s="75" t="s">
        <v>1018</v>
      </c>
      <c r="E7" s="76">
        <v>313.89999999999998</v>
      </c>
      <c r="F7" s="85">
        <f>$C$23</f>
        <v>1.1234</v>
      </c>
      <c r="G7" s="78">
        <v>415.53</v>
      </c>
      <c r="H7" s="79">
        <v>5107</v>
      </c>
      <c r="I7" s="79">
        <v>6868</v>
      </c>
      <c r="J7" s="80">
        <f>H7-I7</f>
        <v>-1761</v>
      </c>
      <c r="K7" s="81">
        <v>46203</v>
      </c>
      <c r="L7" s="82" t="s">
        <v>1014</v>
      </c>
      <c r="M7" s="189">
        <f>K29*I29+(1-K29)*J29</f>
        <v>8833.232876712329</v>
      </c>
      <c r="N7" s="190">
        <f>K29*G29+(1-K29)*H29</f>
        <v>12.464794520547946</v>
      </c>
      <c r="O7" s="189">
        <f>K29*E29+(1-K29)*F29</f>
        <v>39606.986301369863</v>
      </c>
      <c r="P7" s="191">
        <f>F29/E29-1</f>
        <v>0.10311816192560186</v>
      </c>
      <c r="Q7" s="83">
        <v>0.45700000000000002</v>
      </c>
      <c r="R7" s="83">
        <v>0.12189999999999999</v>
      </c>
      <c r="S7" s="84" t="s">
        <v>1019</v>
      </c>
    </row>
    <row r="8" spans="1:19" ht="44.25">
      <c r="A8" s="75" t="s">
        <v>1020</v>
      </c>
      <c r="B8" s="75" t="s">
        <v>1021</v>
      </c>
      <c r="C8" s="75" t="s">
        <v>1012</v>
      </c>
      <c r="D8" s="75" t="s">
        <v>1013</v>
      </c>
      <c r="E8" s="76">
        <v>162.46</v>
      </c>
      <c r="F8" s="77">
        <f>1</f>
        <v>1</v>
      </c>
      <c r="G8" s="78">
        <v>316.95</v>
      </c>
      <c r="H8" s="79">
        <v>15853</v>
      </c>
      <c r="I8" s="79">
        <v>1057</v>
      </c>
      <c r="J8" s="80">
        <f>H8-I8</f>
        <v>14796</v>
      </c>
      <c r="K8" s="81">
        <v>46200</v>
      </c>
      <c r="L8" s="82" t="s">
        <v>1014</v>
      </c>
      <c r="M8" s="189">
        <f>K30*I30+(1-K30)*J30</f>
        <v>5099.8767123287671</v>
      </c>
      <c r="N8" s="190">
        <f>K30*G30+(1-K30)*H30</f>
        <v>8.7017808219178079</v>
      </c>
      <c r="O8" s="189">
        <f>K30*E30+(1-K30)*F30</f>
        <v>19523.835616438355</v>
      </c>
      <c r="P8" s="191">
        <f>F30/E30-1</f>
        <v>7.8431372549019551E-2</v>
      </c>
      <c r="Q8" s="83" t="s">
        <v>248</v>
      </c>
      <c r="R8" s="83" t="s">
        <v>248</v>
      </c>
      <c r="S8" s="84" t="s">
        <v>1022</v>
      </c>
    </row>
    <row r="9" spans="1:19" ht="33">
      <c r="A9" s="75" t="s">
        <v>1023</v>
      </c>
      <c r="B9" s="75" t="s">
        <v>1024</v>
      </c>
      <c r="C9" s="75" t="s">
        <v>1012</v>
      </c>
      <c r="D9" s="75" t="s">
        <v>1013</v>
      </c>
      <c r="E9" s="76">
        <v>1129.3800000000001</v>
      </c>
      <c r="F9" s="77">
        <f>1</f>
        <v>1</v>
      </c>
      <c r="G9" s="78">
        <v>57.4</v>
      </c>
      <c r="H9" s="79">
        <v>33485</v>
      </c>
      <c r="I9" s="79">
        <v>2773</v>
      </c>
      <c r="J9" s="80">
        <f>H9-I9</f>
        <v>30712</v>
      </c>
      <c r="K9" s="81">
        <v>46200</v>
      </c>
      <c r="L9" s="82" t="s">
        <v>1025</v>
      </c>
      <c r="M9" s="189">
        <f>K31*I31+(1-K31)*J31</f>
        <v>6128</v>
      </c>
      <c r="N9" s="190">
        <f>K31*G31+(1-K31)*H31</f>
        <v>48.65</v>
      </c>
      <c r="O9" s="189">
        <f>K31*E31+(1-K31)*F31</f>
        <v>11740</v>
      </c>
      <c r="P9" s="191">
        <f>F31/E31-1</f>
        <v>0.11490978157644816</v>
      </c>
      <c r="Q9" s="83">
        <v>0.59660000000000002</v>
      </c>
      <c r="R9" s="83">
        <v>0.46510000000000001</v>
      </c>
      <c r="S9" s="84" t="s">
        <v>1026</v>
      </c>
    </row>
    <row r="10" spans="1:19" ht="33">
      <c r="A10" s="75" t="s">
        <v>1027</v>
      </c>
      <c r="B10" s="75" t="s">
        <v>1028</v>
      </c>
      <c r="C10" s="75" t="s">
        <v>1012</v>
      </c>
      <c r="D10" s="75" t="s">
        <v>1013</v>
      </c>
      <c r="E10" s="76">
        <v>298.31</v>
      </c>
      <c r="F10" s="77">
        <f>1</f>
        <v>1</v>
      </c>
      <c r="G10" s="78">
        <v>141.26900000000001</v>
      </c>
      <c r="H10" s="79">
        <v>2541.1999999999998</v>
      </c>
      <c r="I10" s="79">
        <v>241</v>
      </c>
      <c r="J10" s="80">
        <f>H10-I10</f>
        <v>2300.1999999999998</v>
      </c>
      <c r="K10" s="81">
        <v>46234</v>
      </c>
      <c r="L10" s="82" t="s">
        <v>1029</v>
      </c>
      <c r="M10" s="189">
        <f>K32*I32+(1-K32)*J32</f>
        <v>1716.4876712328767</v>
      </c>
      <c r="N10" s="190">
        <f>K32*G32+(1-K32)*H32</f>
        <v>7.2085479452054804</v>
      </c>
      <c r="O10" s="189">
        <f>K32*E32+(1-K32)*F32</f>
        <v>6004.9589041095887</v>
      </c>
      <c r="P10" s="191">
        <f>F32/E32-1</f>
        <v>0.11275415896487995</v>
      </c>
      <c r="Q10" s="83">
        <v>0.40400000000000003</v>
      </c>
      <c r="R10" s="83">
        <v>0.24160000000000001</v>
      </c>
      <c r="S10" s="84" t="s">
        <v>1030</v>
      </c>
    </row>
    <row r="11" spans="1:19" ht="6" customHeight="1">
      <c r="A11" s="75"/>
      <c r="B11" s="75"/>
      <c r="C11" s="75"/>
      <c r="D11" s="75"/>
      <c r="E11" s="86"/>
      <c r="F11" s="77"/>
      <c r="G11" s="87"/>
      <c r="H11" s="88"/>
      <c r="I11" s="88"/>
      <c r="J11" s="80"/>
      <c r="K11" s="82"/>
      <c r="L11" s="82"/>
      <c r="M11" s="189"/>
      <c r="N11" s="190"/>
      <c r="O11" s="189"/>
      <c r="P11" s="191"/>
      <c r="Q11" s="83"/>
      <c r="R11" s="83"/>
      <c r="S11" s="84"/>
    </row>
    <row r="12" spans="1:19" ht="22.5">
      <c r="A12" s="75" t="s">
        <v>1031</v>
      </c>
      <c r="B12" s="75" t="s">
        <v>1032</v>
      </c>
      <c r="C12" s="75" t="s">
        <v>1033</v>
      </c>
      <c r="D12" s="75" t="s">
        <v>1013</v>
      </c>
      <c r="E12" s="76">
        <v>551.51</v>
      </c>
      <c r="F12" s="77">
        <f>1</f>
        <v>1</v>
      </c>
      <c r="G12" s="78">
        <v>231.1</v>
      </c>
      <c r="H12" s="79">
        <v>20538</v>
      </c>
      <c r="I12" s="79">
        <v>3791</v>
      </c>
      <c r="J12" s="80">
        <f>H12-I12</f>
        <v>16747</v>
      </c>
      <c r="K12" s="81">
        <v>46201</v>
      </c>
      <c r="L12" s="82" t="s">
        <v>1014</v>
      </c>
      <c r="M12" s="189">
        <f>K33*I33+(1-K33)*J33</f>
        <v>11873.616438356165</v>
      </c>
      <c r="N12" s="190">
        <f>K33*G33+(1-K33)*H33</f>
        <v>32.211917808219184</v>
      </c>
      <c r="O12" s="189">
        <f>K33*E33+(1-K33)*F33</f>
        <v>84715.890410958906</v>
      </c>
      <c r="P12" s="191">
        <f>F33/E33-1</f>
        <v>5.6920607482405128E-2</v>
      </c>
      <c r="Q12" s="83">
        <v>0.11799999999999999</v>
      </c>
      <c r="R12" s="83">
        <v>0.1089</v>
      </c>
      <c r="S12" s="84" t="s">
        <v>1034</v>
      </c>
    </row>
    <row r="13" spans="1:19" ht="33">
      <c r="A13" s="75" t="s">
        <v>1035</v>
      </c>
      <c r="B13" s="75" t="s">
        <v>1036</v>
      </c>
      <c r="C13" s="75" t="s">
        <v>1033</v>
      </c>
      <c r="D13" s="75" t="s">
        <v>1013</v>
      </c>
      <c r="E13" s="76">
        <v>539.30999999999995</v>
      </c>
      <c r="F13" s="77">
        <f>1</f>
        <v>1</v>
      </c>
      <c r="G13" s="78">
        <v>142.4</v>
      </c>
      <c r="H13" s="79">
        <v>15197</v>
      </c>
      <c r="I13" s="79">
        <v>3744</v>
      </c>
      <c r="J13" s="80">
        <f>H13-I13</f>
        <v>11453</v>
      </c>
      <c r="K13" s="81">
        <v>46295</v>
      </c>
      <c r="L13" s="82" t="s">
        <v>1014</v>
      </c>
      <c r="M13" s="189">
        <f>K34*I34+(1-K34)*J34</f>
        <v>6575.7808219178087</v>
      </c>
      <c r="N13" s="190">
        <f>K34*G34+(1-K34)*H34</f>
        <v>30.103424657534248</v>
      </c>
      <c r="O13" s="189">
        <f>K34*E34+(1-K34)*F34</f>
        <v>46410</v>
      </c>
      <c r="P13" s="191">
        <f>F34/E34-1</f>
        <v>6.628830874006808E-2</v>
      </c>
      <c r="Q13" s="83">
        <v>0.20019999999999999</v>
      </c>
      <c r="R13" s="83">
        <v>0.1328</v>
      </c>
      <c r="S13" s="84" t="s">
        <v>1037</v>
      </c>
    </row>
    <row r="14" spans="1:19" ht="33">
      <c r="A14" s="75" t="s">
        <v>1038</v>
      </c>
      <c r="B14" s="75" t="s">
        <v>1039</v>
      </c>
      <c r="C14" s="75" t="s">
        <v>1033</v>
      </c>
      <c r="D14" s="75" t="s">
        <v>1013</v>
      </c>
      <c r="E14" s="76">
        <v>344.71</v>
      </c>
      <c r="F14" s="77">
        <f>1</f>
        <v>1</v>
      </c>
      <c r="G14" s="78">
        <v>273.5</v>
      </c>
      <c r="H14" s="79">
        <v>7516</v>
      </c>
      <c r="I14" s="79">
        <v>4333</v>
      </c>
      <c r="J14" s="80">
        <f>H14-I14</f>
        <v>3183</v>
      </c>
      <c r="K14" s="81">
        <v>46208</v>
      </c>
      <c r="L14" s="82" t="s">
        <v>1014</v>
      </c>
      <c r="M14" s="189">
        <f>K35*I35+(1-K35)*J35</f>
        <v>7281.178082191781</v>
      </c>
      <c r="N14" s="190">
        <f>K35*G35+(1-K35)*H35</f>
        <v>18.321232876712326</v>
      </c>
      <c r="O14" s="189">
        <f>K35*E35+(1-K35)*F35</f>
        <v>58094.109589041102</v>
      </c>
      <c r="P14" s="191">
        <f>F35/E35-1</f>
        <v>4.8104434907010107E-2</v>
      </c>
      <c r="Q14" s="83">
        <v>0.15379999999999999</v>
      </c>
      <c r="R14" s="83">
        <v>0.1038</v>
      </c>
      <c r="S14" s="84" t="s">
        <v>1040</v>
      </c>
    </row>
    <row r="15" spans="1:19" ht="33">
      <c r="A15" s="75" t="s">
        <v>1041</v>
      </c>
      <c r="B15" s="75" t="s">
        <v>1042</v>
      </c>
      <c r="C15" s="75" t="s">
        <v>1033</v>
      </c>
      <c r="D15" s="75" t="s">
        <v>1013</v>
      </c>
      <c r="E15" s="76">
        <v>247.55</v>
      </c>
      <c r="F15" s="77">
        <f>1</f>
        <v>1</v>
      </c>
      <c r="G15" s="78">
        <v>187.3</v>
      </c>
      <c r="H15" s="79">
        <v>10999</v>
      </c>
      <c r="I15" s="79">
        <v>1521</v>
      </c>
      <c r="J15" s="80">
        <f>H15-I15</f>
        <v>9478</v>
      </c>
      <c r="K15" s="81">
        <v>46206</v>
      </c>
      <c r="L15" s="82" t="s">
        <v>1014</v>
      </c>
      <c r="M15" s="189">
        <f>K36*I36+(1-K36)*J36</f>
        <v>4571.7534246575342</v>
      </c>
      <c r="N15" s="190">
        <f>K36*G36+(1-K36)*H36</f>
        <v>13.245753424657533</v>
      </c>
      <c r="O15" s="189">
        <f>K36*E36+(1-K36)*F36</f>
        <v>24966.301369863013</v>
      </c>
      <c r="P15" s="191">
        <f>F36/E36-1</f>
        <v>7.3853989813242871E-2</v>
      </c>
      <c r="Q15" s="83">
        <v>0.25480000000000003</v>
      </c>
      <c r="R15" s="83">
        <v>0.12870000000000001</v>
      </c>
      <c r="S15" s="84" t="s">
        <v>1043</v>
      </c>
    </row>
    <row r="16" spans="1:19">
      <c r="A16" s="75"/>
      <c r="B16" s="75"/>
      <c r="C16" s="75"/>
      <c r="D16" s="75"/>
      <c r="E16" s="86"/>
      <c r="F16" s="89"/>
      <c r="G16" s="87"/>
      <c r="H16" s="88"/>
      <c r="I16" s="88"/>
      <c r="J16" s="80"/>
      <c r="K16" s="75"/>
      <c r="L16" s="75"/>
      <c r="M16" s="189"/>
      <c r="N16" s="190"/>
      <c r="O16" s="189"/>
      <c r="P16" s="191"/>
      <c r="Q16" s="91"/>
      <c r="R16" s="91"/>
      <c r="S16" s="84"/>
    </row>
    <row r="17" spans="1:19" ht="6" customHeight="1">
      <c r="A17" s="75" t="s">
        <v>1044</v>
      </c>
      <c r="B17" s="75" t="s">
        <v>1045</v>
      </c>
      <c r="C17" s="75" t="s">
        <v>1046</v>
      </c>
      <c r="D17" s="75" t="s">
        <v>1013</v>
      </c>
      <c r="E17" s="86">
        <f>WACC!B6</f>
        <v>191.6</v>
      </c>
      <c r="F17" s="89">
        <f>1</f>
        <v>1</v>
      </c>
      <c r="G17" s="87">
        <f>WACC!B7</f>
        <v>1368.1</v>
      </c>
      <c r="H17" s="88">
        <f>WACC!B9</f>
        <v>37379</v>
      </c>
      <c r="I17" s="88">
        <f>WACC!B10</f>
        <v>9173</v>
      </c>
      <c r="J17" s="80">
        <f>H17-I17</f>
        <v>28206</v>
      </c>
      <c r="K17" s="92">
        <v>46295</v>
      </c>
      <c r="L17" s="75" t="s">
        <v>1014</v>
      </c>
      <c r="M17" s="189">
        <f>K38*I38+(1-K38)*J38</f>
        <v>17672.164383561645</v>
      </c>
      <c r="N17" s="190">
        <f>K38*G38+(1-K38)*H38</f>
        <v>7.7510958904109586</v>
      </c>
      <c r="O17" s="189">
        <f>K38*E38+(1-K38)*F38</f>
        <v>102021.50684931508</v>
      </c>
      <c r="P17" s="191">
        <f>F38/E38-1</f>
        <v>7.5283352396797287E-2</v>
      </c>
      <c r="Q17" s="91">
        <f>Historical!J15</f>
        <v>0.2109556502443039</v>
      </c>
      <c r="R17" s="91">
        <f>Historical!J20</f>
        <v>0.11771385708481356</v>
      </c>
      <c r="S17" s="84" t="s">
        <v>1047</v>
      </c>
    </row>
    <row r="18" spans="1:19">
      <c r="A18" s="75"/>
      <c r="B18" s="75"/>
      <c r="C18" s="75"/>
      <c r="D18" s="75"/>
      <c r="E18" s="93"/>
      <c r="F18" s="85"/>
      <c r="G18" s="94"/>
      <c r="H18" s="95"/>
      <c r="I18" s="95"/>
      <c r="J18" s="80"/>
      <c r="K18" s="75"/>
      <c r="L18" s="75"/>
      <c r="M18" s="90"/>
      <c r="N18" s="90"/>
      <c r="O18" s="90"/>
      <c r="P18" s="90"/>
      <c r="Q18" s="96"/>
      <c r="R18" s="96"/>
      <c r="S18" s="84"/>
    </row>
    <row r="21" spans="1:19">
      <c r="A21" s="72" t="s">
        <v>1048</v>
      </c>
      <c r="B21" s="72"/>
      <c r="C21" s="72"/>
    </row>
    <row r="22" spans="1:19">
      <c r="A22" s="7" t="s">
        <v>1049</v>
      </c>
      <c r="B22" s="7"/>
      <c r="C22" s="7" t="s">
        <v>1050</v>
      </c>
    </row>
    <row r="23" spans="1:19">
      <c r="A23" s="1" t="s">
        <v>1051</v>
      </c>
      <c r="C23" s="40">
        <v>1.1234</v>
      </c>
    </row>
    <row r="24" spans="1:19">
      <c r="A24" s="71" t="s">
        <v>1052</v>
      </c>
    </row>
    <row r="25" spans="1:19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s="2" t="s">
        <v>1053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187"/>
      <c r="N26" s="187"/>
      <c r="O26" s="187"/>
      <c r="P26" s="187"/>
      <c r="Q26" s="187"/>
      <c r="R26" s="187"/>
      <c r="S26" s="187"/>
    </row>
    <row r="27" spans="1:19" ht="33">
      <c r="A27" s="188" t="s">
        <v>927</v>
      </c>
      <c r="B27" s="188" t="s">
        <v>928</v>
      </c>
      <c r="C27" s="188" t="s">
        <v>1054</v>
      </c>
      <c r="D27" s="188" t="s">
        <v>1055</v>
      </c>
      <c r="E27" s="188" t="s">
        <v>1056</v>
      </c>
      <c r="F27" s="188" t="s">
        <v>1057</v>
      </c>
      <c r="G27" s="188" t="s">
        <v>1058</v>
      </c>
      <c r="H27" s="188" t="s">
        <v>1059</v>
      </c>
      <c r="I27" s="188" t="s">
        <v>1060</v>
      </c>
      <c r="J27" s="188" t="s">
        <v>1061</v>
      </c>
      <c r="K27" s="188" t="s">
        <v>1062</v>
      </c>
      <c r="L27" s="188" t="s">
        <v>1063</v>
      </c>
      <c r="M27"/>
      <c r="N27"/>
      <c r="O27"/>
      <c r="P27"/>
      <c r="Q27"/>
      <c r="R27"/>
      <c r="S27"/>
    </row>
    <row r="28" spans="1:19" ht="122.25">
      <c r="A28" s="5" t="s">
        <v>1010</v>
      </c>
      <c r="B28" s="5" t="s">
        <v>1011</v>
      </c>
      <c r="C28" s="44">
        <v>46387</v>
      </c>
      <c r="D28" s="5" t="s">
        <v>1064</v>
      </c>
      <c r="E28" s="74">
        <v>50360</v>
      </c>
      <c r="F28" s="74">
        <v>55920</v>
      </c>
      <c r="G28" s="16">
        <v>7.93</v>
      </c>
      <c r="H28" s="16">
        <v>9.11</v>
      </c>
      <c r="I28" s="74">
        <v>12322</v>
      </c>
      <c r="J28" s="74">
        <v>13921</v>
      </c>
      <c r="K28" s="48">
        <f>MAX(0,MIN(1,(C28-Assumptions!$C$10)/Assumptions!$C$9))</f>
        <v>0.19178082191780821</v>
      </c>
      <c r="L28" s="163" t="s">
        <v>1065</v>
      </c>
      <c r="M28"/>
      <c r="N28"/>
      <c r="O28"/>
      <c r="P28"/>
      <c r="Q28"/>
      <c r="R28"/>
      <c r="S28"/>
    </row>
    <row r="29" spans="1:19" ht="122.25">
      <c r="A29" s="5" t="s">
        <v>1016</v>
      </c>
      <c r="B29" s="5" t="s">
        <v>1017</v>
      </c>
      <c r="C29" s="44">
        <v>46387</v>
      </c>
      <c r="D29" s="5" t="s">
        <v>1064</v>
      </c>
      <c r="E29" s="74">
        <v>36560</v>
      </c>
      <c r="F29" s="74">
        <v>40330</v>
      </c>
      <c r="G29" s="16">
        <v>10.42</v>
      </c>
      <c r="H29" s="16">
        <v>12.95</v>
      </c>
      <c r="I29" s="74">
        <v>8063</v>
      </c>
      <c r="J29" s="74">
        <v>9016</v>
      </c>
      <c r="K29" s="48">
        <f>MAX(0,MIN(1,(C29-Assumptions!$C$10)/Assumptions!$C$9))</f>
        <v>0.19178082191780821</v>
      </c>
      <c r="L29" s="163" t="s">
        <v>1066</v>
      </c>
      <c r="M29"/>
      <c r="N29"/>
      <c r="O29"/>
      <c r="P29"/>
      <c r="Q29"/>
      <c r="R29"/>
      <c r="S29"/>
    </row>
    <row r="30" spans="1:19" ht="71.25">
      <c r="A30" s="5" t="s">
        <v>1020</v>
      </c>
      <c r="B30" s="5" t="s">
        <v>1021</v>
      </c>
      <c r="C30" s="44">
        <v>46387</v>
      </c>
      <c r="D30" s="5" t="s">
        <v>1064</v>
      </c>
      <c r="E30" s="74">
        <v>18360</v>
      </c>
      <c r="F30" s="74">
        <v>19800</v>
      </c>
      <c r="G30" s="16">
        <v>7.74</v>
      </c>
      <c r="H30" s="16">
        <v>8.93</v>
      </c>
      <c r="I30" s="74">
        <v>4699</v>
      </c>
      <c r="J30" s="74">
        <v>5195</v>
      </c>
      <c r="K30" s="48">
        <f>MAX(0,MIN(1,(C30-Assumptions!$C$10)/Assumptions!$C$9))</f>
        <v>0.19178082191780821</v>
      </c>
      <c r="L30" s="163" t="s">
        <v>1067</v>
      </c>
      <c r="M30"/>
      <c r="N30"/>
      <c r="O30"/>
      <c r="P30"/>
      <c r="Q30"/>
      <c r="R30"/>
      <c r="S30"/>
    </row>
    <row r="31" spans="1:19" ht="91.5">
      <c r="A31" s="5" t="s">
        <v>1023</v>
      </c>
      <c r="B31" s="5" t="s">
        <v>1024</v>
      </c>
      <c r="C31" s="44">
        <v>46295</v>
      </c>
      <c r="D31" s="5" t="s">
        <v>1068</v>
      </c>
      <c r="E31" s="74">
        <v>10530</v>
      </c>
      <c r="F31" s="74">
        <v>11740</v>
      </c>
      <c r="G31" s="16">
        <v>41.28</v>
      </c>
      <c r="H31" s="16">
        <v>48.65</v>
      </c>
      <c r="I31" s="74">
        <v>5513</v>
      </c>
      <c r="J31" s="74">
        <v>6128</v>
      </c>
      <c r="K31" s="48">
        <f>MAX(0,MIN(1,(C31-Assumptions!$C$10)/Assumptions!$C$9))</f>
        <v>0</v>
      </c>
      <c r="L31" s="163" t="s">
        <v>1069</v>
      </c>
      <c r="M31"/>
      <c r="N31"/>
      <c r="O31"/>
      <c r="P31"/>
      <c r="Q31"/>
      <c r="R31"/>
      <c r="S31"/>
    </row>
    <row r="32" spans="1:19" ht="51">
      <c r="A32" s="5" t="s">
        <v>1027</v>
      </c>
      <c r="B32" s="5" t="s">
        <v>1028</v>
      </c>
      <c r="C32" s="44">
        <v>46326</v>
      </c>
      <c r="D32" s="5" t="s">
        <v>1070</v>
      </c>
      <c r="E32" s="74">
        <v>5410</v>
      </c>
      <c r="F32" s="74">
        <v>6020</v>
      </c>
      <c r="G32" s="16">
        <v>6.36</v>
      </c>
      <c r="H32" s="16">
        <v>7.23</v>
      </c>
      <c r="I32" s="74">
        <v>1538</v>
      </c>
      <c r="J32" s="74">
        <v>1721</v>
      </c>
      <c r="K32" s="48">
        <f>MAX(0,MIN(1,(C32-Assumptions!$C$10)/Assumptions!$C$9))</f>
        <v>2.4657534246575342E-2</v>
      </c>
      <c r="L32" s="163" t="s">
        <v>1071</v>
      </c>
      <c r="M32"/>
      <c r="N32"/>
      <c r="O32"/>
      <c r="P32"/>
      <c r="Q32"/>
      <c r="R32"/>
      <c r="S32"/>
    </row>
    <row r="33" spans="1:19" ht="91.5">
      <c r="A33" s="5" t="s">
        <v>1031</v>
      </c>
      <c r="B33" s="5" t="s">
        <v>1032</v>
      </c>
      <c r="C33" s="44">
        <v>46387</v>
      </c>
      <c r="D33" s="5" t="s">
        <v>1064</v>
      </c>
      <c r="E33" s="74">
        <v>80990</v>
      </c>
      <c r="F33" s="74">
        <v>85600</v>
      </c>
      <c r="G33" s="16">
        <v>30.45</v>
      </c>
      <c r="H33" s="16">
        <v>32.630000000000003</v>
      </c>
      <c r="I33" s="74">
        <v>11341</v>
      </c>
      <c r="J33" s="74">
        <v>12000</v>
      </c>
      <c r="K33" s="48">
        <f>MAX(0,MIN(1,(C33-Assumptions!$C$10)/Assumptions!$C$9))</f>
        <v>0.19178082191780821</v>
      </c>
      <c r="L33" s="163" t="s">
        <v>1072</v>
      </c>
      <c r="M33"/>
      <c r="N33"/>
      <c r="O33"/>
      <c r="P33"/>
      <c r="Q33"/>
      <c r="R33"/>
      <c r="S33"/>
    </row>
    <row r="34" spans="1:19" ht="41.25">
      <c r="A34" s="5" t="s">
        <v>1035</v>
      </c>
      <c r="B34" s="5" t="s">
        <v>1036</v>
      </c>
      <c r="C34" s="44">
        <v>46387</v>
      </c>
      <c r="D34" s="5" t="s">
        <v>1064</v>
      </c>
      <c r="E34" s="74">
        <v>44050</v>
      </c>
      <c r="F34" s="74">
        <v>46970</v>
      </c>
      <c r="G34" s="16">
        <v>28.98</v>
      </c>
      <c r="H34" s="16">
        <v>30.37</v>
      </c>
      <c r="I34" s="74">
        <v>6204</v>
      </c>
      <c r="J34" s="74">
        <v>6664</v>
      </c>
      <c r="K34" s="48">
        <f>MAX(0,MIN(1,(C34-Assumptions!$C$10)/Assumptions!$C$9))</f>
        <v>0.19178082191780821</v>
      </c>
      <c r="L34" s="163" t="s">
        <v>1073</v>
      </c>
      <c r="M34"/>
      <c r="N34"/>
      <c r="O34"/>
      <c r="P34"/>
      <c r="Q34"/>
      <c r="R34"/>
      <c r="S34"/>
    </row>
    <row r="35" spans="1:19" ht="51">
      <c r="A35" s="5" t="s">
        <v>1038</v>
      </c>
      <c r="B35" s="5" t="s">
        <v>1039</v>
      </c>
      <c r="C35" s="44">
        <v>46387</v>
      </c>
      <c r="D35" s="5" t="s">
        <v>1064</v>
      </c>
      <c r="E35" s="74">
        <v>55920</v>
      </c>
      <c r="F35" s="74">
        <v>58610</v>
      </c>
      <c r="G35" s="16">
        <v>17.02</v>
      </c>
      <c r="H35" s="16">
        <v>18.63</v>
      </c>
      <c r="I35" s="74">
        <v>6831</v>
      </c>
      <c r="J35" s="74">
        <v>7388</v>
      </c>
      <c r="K35" s="48">
        <f>MAX(0,MIN(1,(C35-Assumptions!$C$10)/Assumptions!$C$9))</f>
        <v>0.19178082191780821</v>
      </c>
      <c r="L35" s="163" t="s">
        <v>1074</v>
      </c>
      <c r="M35"/>
      <c r="N35"/>
      <c r="O35"/>
      <c r="P35"/>
      <c r="Q35"/>
      <c r="R35"/>
      <c r="S35"/>
    </row>
    <row r="36" spans="1:19" ht="51">
      <c r="A36" s="5" t="s">
        <v>1041</v>
      </c>
      <c r="B36" s="5" t="s">
        <v>1042</v>
      </c>
      <c r="C36" s="44">
        <v>46387</v>
      </c>
      <c r="D36" s="5" t="s">
        <v>1064</v>
      </c>
      <c r="E36" s="74">
        <v>23560</v>
      </c>
      <c r="F36" s="74">
        <v>25300</v>
      </c>
      <c r="G36" s="16">
        <v>12.09</v>
      </c>
      <c r="H36" s="16">
        <v>13.52</v>
      </c>
      <c r="I36" s="74">
        <v>4301</v>
      </c>
      <c r="J36" s="74">
        <v>4636</v>
      </c>
      <c r="K36" s="48">
        <f>MAX(0,MIN(1,(C36-Assumptions!$C$10)/Assumptions!$C$9))</f>
        <v>0.19178082191780821</v>
      </c>
      <c r="L36" s="163" t="s">
        <v>1074</v>
      </c>
      <c r="M36"/>
      <c r="N36"/>
      <c r="O36"/>
      <c r="P36"/>
      <c r="Q36"/>
      <c r="R36"/>
      <c r="S36"/>
    </row>
    <row r="37" spans="1:19">
      <c r="A37" s="5"/>
      <c r="B37" s="5"/>
      <c r="C37" s="44"/>
      <c r="D37" s="5"/>
      <c r="E37" s="74"/>
      <c r="F37" s="74"/>
      <c r="G37" s="16"/>
      <c r="H37" s="16"/>
      <c r="I37" s="74"/>
      <c r="J37" s="74"/>
      <c r="K37" s="48"/>
      <c r="L37" s="163"/>
      <c r="M37"/>
      <c r="N37"/>
      <c r="O37"/>
      <c r="P37"/>
      <c r="Q37"/>
      <c r="R37"/>
      <c r="S37"/>
    </row>
    <row r="38" spans="1:19" ht="91.5">
      <c r="A38" s="5" t="s">
        <v>1075</v>
      </c>
      <c r="B38" s="5" t="s">
        <v>1045</v>
      </c>
      <c r="C38" s="44">
        <v>46387</v>
      </c>
      <c r="D38" s="5" t="s">
        <v>1064</v>
      </c>
      <c r="E38" s="74">
        <v>96170</v>
      </c>
      <c r="F38" s="74">
        <v>103410</v>
      </c>
      <c r="G38" s="16">
        <v>7.25</v>
      </c>
      <c r="H38" s="16">
        <v>7.87</v>
      </c>
      <c r="I38" s="74">
        <v>16653</v>
      </c>
      <c r="J38" s="74">
        <v>17914</v>
      </c>
      <c r="K38" s="48">
        <f>MAX(0,MIN(1,(C38-Assumptions!$C$10)/Assumptions!$C$9))</f>
        <v>0.19178082191780821</v>
      </c>
      <c r="L38" s="163" t="s">
        <v>1076</v>
      </c>
      <c r="M38"/>
      <c r="N38"/>
      <c r="O38"/>
      <c r="P38"/>
      <c r="Q38"/>
      <c r="R38"/>
      <c r="S38"/>
    </row>
    <row r="39" spans="1:19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1:19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</sheetData>
  <printOptions horizontalCentered="1" gridLinesSet="0"/>
  <pageMargins left="0.5" right="0.5" top="0.5" bottom="0.5" header="0.25" footer="0.25"/>
  <pageSetup firstPageNumber="0" orientation="landscape" horizontalDpi="0" verticalDpi="0" copies="0"/>
  <headerFooter>
    <oddFooter>&amp;C&amp;"Arial"&amp;8Point Alpha Capital | PA-RTX-Model | Peer Data | Page &amp;P of &amp;N</oddFooter>
  </headerFooter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8CFEA-EF49-4E3C-AA11-A6253F5F1ED8}">
  <sheetPr>
    <tabColor rgb="FFA6A6A6"/>
    <pageSetUpPr fitToPage="1"/>
  </sheetPr>
  <dimension ref="A1:Z80"/>
  <sheetViews>
    <sheetView showGridLines="0" workbookViewId="0">
      <pane ySplit="2" topLeftCell="A3" activePane="bottomLeft" state="frozen"/>
      <selection pane="bottomLeft" activeCell="A2" sqref="A2"/>
    </sheetView>
  </sheetViews>
  <sheetFormatPr defaultRowHeight="15"/>
  <cols>
    <col min="1" max="1" width="38.140625" style="1" customWidth="1"/>
    <col min="2" max="2" width="28.5703125" style="1" customWidth="1"/>
    <col min="3" max="3" width="60" style="1" customWidth="1"/>
    <col min="4" max="13" width="9.85546875" style="1" customWidth="1"/>
    <col min="14" max="26" width="9.140625" style="1"/>
  </cols>
  <sheetData>
    <row r="1" spans="1:14" ht="15.75">
      <c r="A1" s="70" t="s">
        <v>1077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/>
    </row>
    <row r="2" spans="1:14">
      <c r="A2" s="71" t="s">
        <v>1078</v>
      </c>
      <c r="N2"/>
    </row>
    <row r="3" spans="1:14">
      <c r="N3"/>
    </row>
    <row r="4" spans="1:14">
      <c r="A4" s="2" t="s">
        <v>1079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/>
    </row>
    <row r="5" spans="1:14">
      <c r="A5" s="121" t="s">
        <v>1080</v>
      </c>
      <c r="B5" s="121" t="s">
        <v>42</v>
      </c>
      <c r="C5" s="121" t="s">
        <v>43</v>
      </c>
      <c r="D5" s="121" t="s">
        <v>45</v>
      </c>
      <c r="E5" s="121" t="s">
        <v>47</v>
      </c>
      <c r="F5" s="121" t="s">
        <v>48</v>
      </c>
      <c r="G5" s="121" t="s">
        <v>49</v>
      </c>
      <c r="H5" s="121" t="s">
        <v>50</v>
      </c>
      <c r="I5" s="121" t="s">
        <v>51</v>
      </c>
      <c r="J5" s="121" t="s">
        <v>52</v>
      </c>
      <c r="K5" s="121" t="s">
        <v>53</v>
      </c>
      <c r="L5" s="121" t="s">
        <v>54</v>
      </c>
      <c r="M5" s="121" t="s">
        <v>1081</v>
      </c>
      <c r="N5"/>
    </row>
    <row r="6" spans="1:14">
      <c r="A6" s="1" t="s">
        <v>1082</v>
      </c>
      <c r="B6" s="123" t="b">
        <f>ABS(Projections!B104)&lt;0.5</f>
        <v>1</v>
      </c>
      <c r="C6" s="123" t="b">
        <f>ABS(Projections!C104)&lt;0.5</f>
        <v>1</v>
      </c>
      <c r="D6" s="123" t="b">
        <f>ABS(Projections!D104)&lt;0.5</f>
        <v>1</v>
      </c>
      <c r="E6" s="123" t="b">
        <f>ABS(Projections!E104)&lt;0.5</f>
        <v>1</v>
      </c>
      <c r="F6" s="123" t="b">
        <f>ABS(Projections!F104)&lt;0.5</f>
        <v>1</v>
      </c>
      <c r="G6" s="123" t="b">
        <f>ABS(Projections!G104)&lt;0.5</f>
        <v>1</v>
      </c>
      <c r="H6" s="123" t="b">
        <f>ABS(Projections!H104)&lt;0.5</f>
        <v>1</v>
      </c>
      <c r="I6" s="123" t="b">
        <f>ABS(Projections!I104)&lt;0.5</f>
        <v>1</v>
      </c>
      <c r="J6" s="123" t="b">
        <f>ABS(Projections!J104)&lt;0.5</f>
        <v>1</v>
      </c>
      <c r="K6" s="123" t="b">
        <f>ABS(Projections!K104)&lt;0.5</f>
        <v>1</v>
      </c>
      <c r="L6" s="123" t="b">
        <f>ABS(Projections!L104)&lt;0.5</f>
        <v>1</v>
      </c>
      <c r="M6" s="123" t="b">
        <f>AND(B6:L6)</f>
        <v>1</v>
      </c>
      <c r="N6"/>
    </row>
    <row r="7" spans="1:14">
      <c r="A7" s="1" t="s">
        <v>1083</v>
      </c>
      <c r="B7" s="123" t="str">
        <f>"n/a"</f>
        <v>n/a</v>
      </c>
      <c r="C7" s="123" t="b">
        <f>ABS(Projections!C133)&lt;0.5</f>
        <v>1</v>
      </c>
      <c r="D7" s="123" t="b">
        <f>ABS(Projections!D133)&lt;0.5</f>
        <v>1</v>
      </c>
      <c r="E7" s="123" t="b">
        <f>ABS(Projections!E133)&lt;0.5</f>
        <v>1</v>
      </c>
      <c r="F7" s="123" t="b">
        <f>ABS(Projections!F133)&lt;0.5</f>
        <v>1</v>
      </c>
      <c r="G7" s="123" t="b">
        <f>ABS(Projections!G133)&lt;0.5</f>
        <v>1</v>
      </c>
      <c r="H7" s="123" t="b">
        <f>ABS(Projections!H133)&lt;0.5</f>
        <v>1</v>
      </c>
      <c r="I7" s="123" t="b">
        <f>ABS(Projections!I133)&lt;0.5</f>
        <v>1</v>
      </c>
      <c r="J7" s="123" t="b">
        <f>ABS(Projections!J133)&lt;0.5</f>
        <v>1</v>
      </c>
      <c r="K7" s="123" t="b">
        <f>ABS(Projections!K133)&lt;0.5</f>
        <v>1</v>
      </c>
      <c r="L7" s="123" t="b">
        <f>ABS(Projections!L133)&lt;0.5</f>
        <v>1</v>
      </c>
      <c r="M7" s="123" t="b">
        <f>AND(C7:L7)</f>
        <v>1</v>
      </c>
      <c r="N7"/>
    </row>
    <row r="8" spans="1:14">
      <c r="A8" s="1" t="s">
        <v>1084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 t="b" cm="1">
        <f t="array" ref="M8">SUMPRODUCT(--(ABS(Historical!B141:I141)&gt;0.5))=0</f>
        <v>1</v>
      </c>
      <c r="N8"/>
    </row>
    <row r="9" spans="1:14">
      <c r="N9"/>
    </row>
    <row r="10" spans="1:14">
      <c r="A10" s="2" t="s">
        <v>1085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/>
    </row>
    <row r="11" spans="1:14">
      <c r="A11" s="121" t="s">
        <v>1086</v>
      </c>
      <c r="B11" s="121" t="s">
        <v>1087</v>
      </c>
      <c r="C11" s="121" t="s">
        <v>1088</v>
      </c>
      <c r="M11" s="123"/>
      <c r="N11"/>
    </row>
    <row r="12" spans="1:14">
      <c r="A12" s="1" t="s">
        <v>1089</v>
      </c>
      <c r="B12" s="122" cm="1">
        <f t="array" ref="B12">SUMPRODUCT(--ISERROR(Cover!A1:P122))</f>
        <v>0</v>
      </c>
      <c r="C12" s="1" t="s">
        <v>1090</v>
      </c>
      <c r="M12" s="123"/>
      <c r="N12"/>
    </row>
    <row r="13" spans="1:14">
      <c r="A13" s="1" t="s">
        <v>62</v>
      </c>
      <c r="B13" s="122" cm="1">
        <f t="array" ref="B13">SUMPRODUCT(--ISERROR(Assumptions!A1:N100))</f>
        <v>0</v>
      </c>
      <c r="C13" s="1" t="s">
        <v>1091</v>
      </c>
      <c r="M13" s="123"/>
      <c r="N13"/>
    </row>
    <row r="14" spans="1:14">
      <c r="A14" s="1" t="s">
        <v>64</v>
      </c>
      <c r="B14" s="122" cm="1">
        <f t="array" ref="B14">SUMPRODUCT(--ISERROR(Historical!A1:K230))</f>
        <v>0</v>
      </c>
      <c r="C14" s="1" t="s">
        <v>1092</v>
      </c>
      <c r="M14" s="123"/>
      <c r="N14"/>
    </row>
    <row r="15" spans="1:14">
      <c r="A15" s="1" t="s">
        <v>66</v>
      </c>
      <c r="B15" s="122" cm="1">
        <f t="array" ref="B15">SUMPRODUCT(--ISERROR(Projections!A1:M160))</f>
        <v>0</v>
      </c>
      <c r="C15" s="1" t="s">
        <v>1093</v>
      </c>
      <c r="M15" s="123"/>
      <c r="N15"/>
    </row>
    <row r="16" spans="1:14">
      <c r="A16" s="1" t="s">
        <v>68</v>
      </c>
      <c r="B16" s="122" cm="1">
        <f t="array" ref="B16">SUMPRODUCT(--ISERROR('Beta Data'!A1:I70))</f>
        <v>0</v>
      </c>
      <c r="C16" s="1" t="s">
        <v>1094</v>
      </c>
      <c r="M16" s="123"/>
      <c r="N16"/>
    </row>
    <row r="17" spans="1:14">
      <c r="A17" s="1" t="s">
        <v>70</v>
      </c>
      <c r="B17" s="122" cm="1">
        <f t="array" ref="B17">SUMPRODUCT(--ISERROR(WACC!A1:C60))</f>
        <v>0</v>
      </c>
      <c r="C17" s="1" t="s">
        <v>1095</v>
      </c>
      <c r="M17" s="123"/>
      <c r="N17"/>
    </row>
    <row r="18" spans="1:14">
      <c r="A18" s="1" t="s">
        <v>72</v>
      </c>
      <c r="B18" s="122" cm="1">
        <f t="array" ref="B18">SUMPRODUCT(--ISERROR(DCF!A1:M60))</f>
        <v>0</v>
      </c>
      <c r="C18" s="1" t="s">
        <v>1096</v>
      </c>
      <c r="M18" s="123"/>
      <c r="N18"/>
    </row>
    <row r="19" spans="1:14">
      <c r="A19" s="1" t="s">
        <v>74</v>
      </c>
      <c r="B19" s="122" cm="1">
        <f t="array" ref="B19">SUMPRODUCT(--ISERROR(Sensitivity!A1:L440))</f>
        <v>0</v>
      </c>
      <c r="C19" s="1" t="s">
        <v>1097</v>
      </c>
      <c r="M19" s="123"/>
      <c r="N19"/>
    </row>
    <row r="20" spans="1:14">
      <c r="A20" s="1" t="s">
        <v>76</v>
      </c>
      <c r="B20" s="122" cm="1">
        <f t="array" ref="B20">SUMPRODUCT(--ISERROR('Sum-of-Parts'!A1:K80))</f>
        <v>0</v>
      </c>
      <c r="C20" s="1" t="s">
        <v>1098</v>
      </c>
      <c r="M20" s="123"/>
      <c r="N20"/>
    </row>
    <row r="21" spans="1:14">
      <c r="A21" s="1" t="s">
        <v>78</v>
      </c>
      <c r="B21" s="122" cm="1">
        <f t="array" ref="B21">SUMPRODUCT(--ISERROR('Peer Data'!A1:S30))</f>
        <v>0</v>
      </c>
      <c r="C21" s="1" t="s">
        <v>1099</v>
      </c>
      <c r="M21" s="123"/>
      <c r="N21"/>
    </row>
    <row r="22" spans="1:14">
      <c r="A22" s="1" t="s">
        <v>1100</v>
      </c>
      <c r="B22" s="122">
        <f>SUM(B12:B21)</f>
        <v>0</v>
      </c>
      <c r="M22" s="123" t="b">
        <f>B22=0</f>
        <v>1</v>
      </c>
      <c r="N22"/>
    </row>
    <row r="23" spans="1:14">
      <c r="M23" s="123"/>
      <c r="N23"/>
    </row>
    <row r="24" spans="1:14">
      <c r="A24" s="2" t="s">
        <v>1101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124"/>
      <c r="N24"/>
    </row>
    <row r="25" spans="1:14">
      <c r="A25" s="1" t="s">
        <v>1102</v>
      </c>
      <c r="B25" s="1" t="b">
        <f>DCF!C22&lt;DCF!C21</f>
        <v>1</v>
      </c>
      <c r="M25" s="123" t="b">
        <f>B25</f>
        <v>1</v>
      </c>
      <c r="N25"/>
    </row>
    <row r="26" spans="1:14">
      <c r="A26" s="1" t="s">
        <v>1103</v>
      </c>
      <c r="B26" s="1" t="b">
        <f>DCF!C28</f>
        <v>1</v>
      </c>
      <c r="M26" s="123" t="b">
        <f>B26</f>
        <v>1</v>
      </c>
      <c r="N26"/>
    </row>
    <row r="27" spans="1:14">
      <c r="A27" s="1" t="s">
        <v>1104</v>
      </c>
      <c r="B27" s="1" t="b">
        <f>Sensitivity!C12</f>
        <v>1</v>
      </c>
      <c r="M27" s="123" t="b">
        <f>B27</f>
        <v>1</v>
      </c>
      <c r="N27"/>
    </row>
    <row r="28" spans="1:14">
      <c r="A28" s="1" t="s">
        <v>1105</v>
      </c>
      <c r="B28" s="1" t="b">
        <f>Sensitivity!C23</f>
        <v>1</v>
      </c>
      <c r="M28" s="123" t="b">
        <f>B28</f>
        <v>1</v>
      </c>
      <c r="N28"/>
    </row>
    <row r="29" spans="1:14">
      <c r="A29" s="1" t="s">
        <v>1106</v>
      </c>
      <c r="B29" s="1" t="b">
        <f>ABS('Beta Data'!H27)&lt;0.0005</f>
        <v>1</v>
      </c>
      <c r="M29" s="123" t="b">
        <f>B29</f>
        <v>1</v>
      </c>
      <c r="N29"/>
    </row>
    <row r="30" spans="1:14">
      <c r="M30" s="123"/>
      <c r="N30"/>
    </row>
    <row r="31" spans="1:14">
      <c r="A31" s="2" t="s">
        <v>1107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124"/>
      <c r="N31"/>
    </row>
    <row r="32" spans="1:14">
      <c r="A32" s="121" t="s">
        <v>1108</v>
      </c>
      <c r="B32" s="121" t="s">
        <v>945</v>
      </c>
      <c r="C32" s="121" t="s">
        <v>1109</v>
      </c>
      <c r="D32" s="121" t="s">
        <v>1110</v>
      </c>
      <c r="E32" s="121" t="s">
        <v>1111</v>
      </c>
      <c r="F32" s="121" t="s">
        <v>1112</v>
      </c>
      <c r="G32" s="121" t="s">
        <v>1113</v>
      </c>
      <c r="M32" s="123"/>
      <c r="N32"/>
    </row>
    <row r="33" spans="1:14">
      <c r="A33" s="75">
        <v>1</v>
      </c>
      <c r="B33" s="84" t="s">
        <v>1114</v>
      </c>
      <c r="C33" s="84" t="s">
        <v>1115</v>
      </c>
      <c r="D33" s="79">
        <v>88603</v>
      </c>
      <c r="E33" s="95">
        <f>Historical!F9</f>
        <v>88603</v>
      </c>
      <c r="F33" s="88">
        <f>E33-D33</f>
        <v>0</v>
      </c>
      <c r="G33" s="75" t="b">
        <f>ABS(F33)&lt;0.5</f>
        <v>1</v>
      </c>
      <c r="M33" s="123"/>
      <c r="N33"/>
    </row>
    <row r="34" spans="1:14">
      <c r="A34" s="75">
        <v>2</v>
      </c>
      <c r="B34" s="84" t="s">
        <v>1116</v>
      </c>
      <c r="C34" s="84" t="s">
        <v>1117</v>
      </c>
      <c r="D34" s="79">
        <v>9300</v>
      </c>
      <c r="E34" s="95">
        <f>Historical!F19</f>
        <v>9300</v>
      </c>
      <c r="F34" s="88">
        <f>E34-D34</f>
        <v>0</v>
      </c>
      <c r="G34" s="75" t="b">
        <f>ABS(F34)&lt;0.5</f>
        <v>1</v>
      </c>
      <c r="M34" s="123"/>
      <c r="N34"/>
    </row>
    <row r="35" spans="1:14" ht="22.5">
      <c r="A35" s="75">
        <v>3</v>
      </c>
      <c r="B35" s="84" t="s">
        <v>1118</v>
      </c>
      <c r="C35" s="84" t="s">
        <v>1119</v>
      </c>
      <c r="D35" s="79">
        <v>4774</v>
      </c>
      <c r="E35" s="95">
        <f>Historical!E31</f>
        <v>4774</v>
      </c>
      <c r="F35" s="88">
        <f>E35-D35</f>
        <v>0</v>
      </c>
      <c r="G35" s="75" t="b">
        <f>ABS(F35)&lt;0.5</f>
        <v>1</v>
      </c>
      <c r="M35" s="123"/>
      <c r="N35"/>
    </row>
    <row r="36" spans="1:14" ht="22.5">
      <c r="A36" s="75">
        <v>4</v>
      </c>
      <c r="B36" s="84" t="s">
        <v>1120</v>
      </c>
      <c r="C36" s="84" t="s">
        <v>1121</v>
      </c>
      <c r="D36" s="79">
        <v>18296</v>
      </c>
      <c r="E36" s="95">
        <f>Historical!D42</f>
        <v>18296</v>
      </c>
      <c r="F36" s="88">
        <f>E36-D36</f>
        <v>0</v>
      </c>
      <c r="G36" s="75" t="b">
        <f>ABS(F36)&lt;0.5</f>
        <v>1</v>
      </c>
      <c r="M36" s="123"/>
      <c r="N36"/>
    </row>
    <row r="37" spans="1:14" ht="22.5">
      <c r="A37" s="75">
        <v>5</v>
      </c>
      <c r="B37" s="84" t="s">
        <v>1122</v>
      </c>
      <c r="C37" s="84" t="s">
        <v>1123</v>
      </c>
      <c r="D37" s="79">
        <v>-5401</v>
      </c>
      <c r="E37" s="95">
        <f>Historical!D10</f>
        <v>-5401</v>
      </c>
      <c r="F37" s="88">
        <f>E37-D37</f>
        <v>0</v>
      </c>
      <c r="G37" s="75" t="b">
        <f>ABS(F37)&lt;0.5</f>
        <v>1</v>
      </c>
      <c r="M37" s="123"/>
      <c r="N37"/>
    </row>
    <row r="38" spans="1:14">
      <c r="A38" s="75">
        <v>6</v>
      </c>
      <c r="B38" s="84" t="s">
        <v>1124</v>
      </c>
      <c r="C38" s="84" t="s">
        <v>1125</v>
      </c>
      <c r="D38" s="79">
        <v>158864</v>
      </c>
      <c r="E38" s="95">
        <f>Historical!C118</f>
        <v>158864</v>
      </c>
      <c r="F38" s="88">
        <f>E38-D38</f>
        <v>0</v>
      </c>
      <c r="G38" s="75" t="b">
        <f>ABS(F38)&lt;0.5</f>
        <v>1</v>
      </c>
      <c r="M38" s="123"/>
      <c r="N38"/>
    </row>
    <row r="39" spans="1:14" ht="22.5">
      <c r="A39" s="75">
        <v>7</v>
      </c>
      <c r="B39" s="84" t="s">
        <v>1126</v>
      </c>
      <c r="C39" s="84" t="s">
        <v>1127</v>
      </c>
      <c r="D39" s="79">
        <v>7142</v>
      </c>
      <c r="E39" s="95">
        <f>Historical!B160</f>
        <v>7142</v>
      </c>
      <c r="F39" s="88">
        <f>E39-D39</f>
        <v>0</v>
      </c>
      <c r="G39" s="75" t="b">
        <f>ABS(F39)&lt;0.5</f>
        <v>1</v>
      </c>
      <c r="M39" s="123"/>
      <c r="N39"/>
    </row>
    <row r="40" spans="1:14" ht="22.5">
      <c r="A40" s="75">
        <v>8</v>
      </c>
      <c r="B40" s="84" t="s">
        <v>1128</v>
      </c>
      <c r="C40" s="84" t="s">
        <v>1129</v>
      </c>
      <c r="D40" s="79">
        <v>24965</v>
      </c>
      <c r="E40" s="95">
        <f>Historical!I9</f>
        <v>24965</v>
      </c>
      <c r="F40" s="88">
        <f>E40-D40</f>
        <v>0</v>
      </c>
      <c r="G40" s="75" t="b">
        <f>ABS(F40)&lt;0.5</f>
        <v>1</v>
      </c>
      <c r="M40" s="123"/>
      <c r="N40"/>
    </row>
    <row r="41" spans="1:14" ht="22.5">
      <c r="A41" s="75">
        <v>9</v>
      </c>
      <c r="B41" s="84" t="s">
        <v>1130</v>
      </c>
      <c r="C41" s="84" t="s">
        <v>1131</v>
      </c>
      <c r="D41" s="79">
        <v>9173</v>
      </c>
      <c r="E41" s="95">
        <f>Historical!I106</f>
        <v>9173</v>
      </c>
      <c r="F41" s="88">
        <f>E41-D41</f>
        <v>0</v>
      </c>
      <c r="G41" s="75" t="b">
        <f>ABS(F41)&lt;0.5</f>
        <v>1</v>
      </c>
      <c r="M41" s="123"/>
      <c r="N41"/>
    </row>
    <row r="42" spans="1:14">
      <c r="A42" s="75">
        <v>10</v>
      </c>
      <c r="B42" s="84" t="s">
        <v>1132</v>
      </c>
      <c r="C42" s="84" t="s">
        <v>1133</v>
      </c>
      <c r="D42" s="79">
        <v>-2627</v>
      </c>
      <c r="E42" s="95">
        <f>Historical!F161</f>
        <v>-2627</v>
      </c>
      <c r="F42" s="88">
        <f>E42-D42</f>
        <v>0</v>
      </c>
      <c r="G42" s="75" t="b">
        <f>ABS(F42)&lt;0.5</f>
        <v>1</v>
      </c>
      <c r="M42" s="123" t="b">
        <f>AND(G33:G42)</f>
        <v>1</v>
      </c>
      <c r="N42"/>
    </row>
    <row r="43" spans="1:14">
      <c r="A43" s="75"/>
      <c r="B43" s="75"/>
      <c r="C43" s="75"/>
      <c r="D43" s="75"/>
      <c r="E43" s="75"/>
      <c r="F43" s="75"/>
      <c r="G43" s="75"/>
      <c r="M43" s="123"/>
      <c r="N43"/>
    </row>
    <row r="44" spans="1:14">
      <c r="A44" s="126" t="s">
        <v>1134</v>
      </c>
      <c r="B44" s="126"/>
      <c r="C44" s="126"/>
      <c r="D44" s="126"/>
      <c r="E44" s="126"/>
      <c r="F44" s="126"/>
      <c r="G44" s="126"/>
      <c r="H44" s="2"/>
      <c r="I44" s="2"/>
      <c r="J44" s="2"/>
      <c r="K44" s="2"/>
      <c r="L44" s="2"/>
      <c r="M44" s="124"/>
      <c r="N44"/>
    </row>
    <row r="45" spans="1:14">
      <c r="A45" s="127" t="s">
        <v>1135</v>
      </c>
      <c r="B45" s="127" t="s">
        <v>1136</v>
      </c>
      <c r="C45" s="127" t="s">
        <v>1137</v>
      </c>
      <c r="D45" s="75"/>
      <c r="E45" s="75"/>
      <c r="F45" s="75"/>
      <c r="G45" s="75"/>
      <c r="M45" s="123"/>
      <c r="N45"/>
    </row>
    <row r="46" spans="1:14" ht="22.5">
      <c r="A46" s="75" t="s">
        <v>1138</v>
      </c>
      <c r="B46" s="84" t="s">
        <v>1139</v>
      </c>
      <c r="C46" s="84" t="s">
        <v>1140</v>
      </c>
      <c r="D46" s="75"/>
      <c r="E46" s="75"/>
      <c r="F46" s="75"/>
      <c r="G46" s="75"/>
      <c r="M46" s="123"/>
      <c r="N46"/>
    </row>
    <row r="47" spans="1:14" ht="22.5">
      <c r="A47" s="75" t="s">
        <v>1141</v>
      </c>
      <c r="B47" s="84" t="s">
        <v>1142</v>
      </c>
      <c r="C47" s="84" t="s">
        <v>1143</v>
      </c>
      <c r="D47" s="75"/>
      <c r="E47" s="75"/>
      <c r="F47" s="75"/>
      <c r="G47" s="75"/>
      <c r="M47" s="123"/>
      <c r="N47"/>
    </row>
    <row r="48" spans="1:14">
      <c r="A48" s="75" t="s">
        <v>1144</v>
      </c>
      <c r="B48" s="84" t="s">
        <v>1145</v>
      </c>
      <c r="C48" s="84" t="s">
        <v>1146</v>
      </c>
      <c r="D48" s="75"/>
      <c r="E48" s="75"/>
      <c r="F48" s="75"/>
      <c r="G48" s="75"/>
      <c r="M48" s="123"/>
      <c r="N48"/>
    </row>
    <row r="49" spans="1:14" ht="22.5">
      <c r="A49" s="75" t="s">
        <v>1147</v>
      </c>
      <c r="B49" s="84" t="s">
        <v>1148</v>
      </c>
      <c r="C49" s="84" t="s">
        <v>1149</v>
      </c>
      <c r="D49" s="75"/>
      <c r="E49" s="75"/>
      <c r="F49" s="75"/>
      <c r="G49" s="75"/>
      <c r="M49" s="123"/>
      <c r="N49"/>
    </row>
    <row r="50" spans="1:14" ht="55.5">
      <c r="A50" s="75" t="s">
        <v>1150</v>
      </c>
      <c r="B50" s="84" t="s">
        <v>1151</v>
      </c>
      <c r="C50" s="84" t="s">
        <v>1152</v>
      </c>
      <c r="D50" s="75"/>
      <c r="E50" s="75"/>
      <c r="F50" s="75"/>
      <c r="G50" s="75"/>
      <c r="M50" s="123"/>
      <c r="N50"/>
    </row>
    <row r="51" spans="1:14">
      <c r="A51" s="1" t="s">
        <v>1153</v>
      </c>
      <c r="B51" s="1">
        <f>COUNTIF(C46:C49,"Open*")+COUNTIF(C46:C49,"Blocked*")</f>
        <v>0</v>
      </c>
      <c r="M51" s="123" t="str">
        <f>"info"</f>
        <v>info</v>
      </c>
      <c r="N51"/>
    </row>
    <row r="52" spans="1:14">
      <c r="M52" s="123"/>
      <c r="N52"/>
    </row>
    <row r="53" spans="1:14">
      <c r="A53" s="2" t="s">
        <v>1154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124"/>
      <c r="N53"/>
    </row>
    <row r="54" spans="1:14">
      <c r="A54" s="125" t="s">
        <v>1155</v>
      </c>
      <c r="B54" s="125" t="str">
        <f>IF(AND(M6,M7,M8,M22,M25,M26,M27,M28,M29,M42),"PASS","FAIL")</f>
        <v>PASS</v>
      </c>
      <c r="M54" s="123"/>
      <c r="N54"/>
    </row>
    <row r="55" spans="1:14">
      <c r="A55" s="125" t="s">
        <v>1156</v>
      </c>
      <c r="B55" s="125" t="str">
        <f>IF(B51=0,"COMPLETE","INCOMPLETE: "&amp;B51&amp;" open items")</f>
        <v>COMPLETE</v>
      </c>
      <c r="M55" s="123"/>
      <c r="N55"/>
    </row>
    <row r="56" spans="1:14">
      <c r="A56"/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1:14">
      <c r="A57"/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1:14">
      <c r="A58"/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1:14">
      <c r="A59"/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/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1:14">
      <c r="A61"/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/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1:14">
      <c r="A63"/>
      <c r="B63"/>
      <c r="C63"/>
      <c r="D63"/>
      <c r="E63"/>
      <c r="F63"/>
      <c r="G63"/>
      <c r="H63"/>
      <c r="I63"/>
      <c r="J63"/>
      <c r="K63"/>
      <c r="L63"/>
      <c r="M63"/>
      <c r="N63"/>
    </row>
    <row r="64" spans="1:14">
      <c r="A64"/>
      <c r="B64"/>
      <c r="C64"/>
      <c r="D64"/>
      <c r="E64"/>
      <c r="F64"/>
      <c r="G64"/>
      <c r="H64"/>
      <c r="I64"/>
      <c r="J64"/>
      <c r="K64"/>
      <c r="L64"/>
      <c r="M64"/>
      <c r="N64"/>
    </row>
    <row r="65" spans="1:14">
      <c r="A65"/>
      <c r="B65"/>
      <c r="C65"/>
      <c r="D65"/>
      <c r="E65"/>
      <c r="F65"/>
      <c r="G65"/>
      <c r="H65"/>
      <c r="I65"/>
      <c r="J65"/>
      <c r="K65"/>
      <c r="L65"/>
      <c r="M65"/>
      <c r="N65"/>
    </row>
    <row r="66" spans="1:14">
      <c r="A66"/>
      <c r="B66"/>
      <c r="C66"/>
      <c r="D66"/>
      <c r="E66"/>
      <c r="F66"/>
      <c r="G66"/>
      <c r="H66"/>
      <c r="I66"/>
      <c r="J66"/>
      <c r="K66"/>
      <c r="L66"/>
      <c r="M66"/>
      <c r="N66"/>
    </row>
    <row r="67" spans="1:14">
      <c r="A67"/>
      <c r="B67"/>
      <c r="C67"/>
      <c r="D67"/>
      <c r="E67"/>
      <c r="F67"/>
      <c r="G67"/>
      <c r="H67"/>
      <c r="I67"/>
      <c r="J67"/>
      <c r="K67"/>
      <c r="L67"/>
      <c r="M67"/>
      <c r="N67"/>
    </row>
    <row r="68" spans="1:14">
      <c r="A68"/>
      <c r="B68"/>
      <c r="C68"/>
      <c r="D68"/>
      <c r="E68"/>
      <c r="F68"/>
      <c r="G68"/>
      <c r="H68"/>
      <c r="I68"/>
      <c r="J68"/>
      <c r="K68"/>
      <c r="L68"/>
      <c r="M68"/>
      <c r="N68"/>
    </row>
    <row r="69" spans="1:14">
      <c r="A69"/>
      <c r="B69"/>
      <c r="C69"/>
      <c r="D69"/>
      <c r="E69"/>
      <c r="F69"/>
      <c r="G69"/>
      <c r="H69"/>
      <c r="I69"/>
      <c r="J69"/>
      <c r="K69"/>
      <c r="L69"/>
      <c r="M69"/>
      <c r="N69"/>
    </row>
    <row r="70" spans="1:14">
      <c r="A70"/>
      <c r="B70"/>
      <c r="C70"/>
      <c r="D70"/>
      <c r="E70"/>
      <c r="F70"/>
      <c r="G70"/>
      <c r="H70"/>
      <c r="I70"/>
      <c r="J70"/>
      <c r="K70"/>
      <c r="L70"/>
      <c r="M70"/>
      <c r="N70"/>
    </row>
    <row r="71" spans="1:14">
      <c r="A71"/>
      <c r="B71"/>
      <c r="C71"/>
      <c r="D71"/>
      <c r="E71"/>
      <c r="F71"/>
      <c r="G71"/>
      <c r="H71"/>
      <c r="I71"/>
      <c r="J71"/>
      <c r="K71"/>
      <c r="L71"/>
      <c r="M71"/>
      <c r="N71"/>
    </row>
    <row r="72" spans="1:14">
      <c r="A72"/>
      <c r="B72"/>
      <c r="C72"/>
      <c r="D72"/>
      <c r="E72"/>
      <c r="F72"/>
      <c r="G72"/>
      <c r="H72"/>
      <c r="I72"/>
      <c r="J72"/>
      <c r="K72"/>
      <c r="L72"/>
      <c r="M72"/>
      <c r="N72"/>
    </row>
    <row r="73" spans="1:14">
      <c r="A73"/>
      <c r="B73"/>
      <c r="C73"/>
      <c r="D73"/>
      <c r="E73"/>
      <c r="F73"/>
      <c r="G73"/>
      <c r="H73"/>
      <c r="I73"/>
      <c r="J73"/>
      <c r="K73"/>
      <c r="L73"/>
      <c r="M73"/>
      <c r="N73"/>
    </row>
    <row r="74" spans="1:14">
      <c r="A74"/>
      <c r="B74"/>
      <c r="C74"/>
      <c r="D74"/>
      <c r="E74"/>
      <c r="F74"/>
      <c r="G74"/>
      <c r="H74"/>
      <c r="I74"/>
      <c r="J74"/>
      <c r="K74"/>
      <c r="L74"/>
      <c r="M74"/>
      <c r="N74"/>
    </row>
    <row r="75" spans="1:14">
      <c r="A75"/>
      <c r="B75"/>
      <c r="C75"/>
      <c r="D75"/>
      <c r="E75"/>
      <c r="F75"/>
      <c r="G75"/>
      <c r="H75"/>
      <c r="I75"/>
      <c r="J75"/>
      <c r="K75"/>
      <c r="L75"/>
      <c r="M75"/>
      <c r="N75"/>
    </row>
    <row r="76" spans="1:14">
      <c r="A76"/>
      <c r="B76"/>
      <c r="C76"/>
      <c r="D76"/>
      <c r="E76"/>
      <c r="F76"/>
      <c r="G76"/>
      <c r="H76"/>
      <c r="I76"/>
      <c r="J76"/>
      <c r="K76"/>
      <c r="L76"/>
      <c r="M76"/>
      <c r="N76"/>
    </row>
    <row r="77" spans="1:14">
      <c r="A77"/>
      <c r="B77"/>
      <c r="C77"/>
      <c r="D77"/>
      <c r="E77"/>
      <c r="F77"/>
      <c r="G77"/>
      <c r="H77"/>
      <c r="I77"/>
      <c r="J77"/>
      <c r="K77"/>
      <c r="L77"/>
      <c r="M77"/>
      <c r="N77"/>
    </row>
    <row r="78" spans="1:14">
      <c r="A78"/>
      <c r="B78"/>
      <c r="C78"/>
      <c r="D78"/>
      <c r="E78"/>
      <c r="F78"/>
      <c r="G78"/>
      <c r="H78"/>
      <c r="I78"/>
      <c r="J78"/>
      <c r="K78"/>
      <c r="L78"/>
      <c r="M78"/>
      <c r="N78"/>
    </row>
    <row r="79" spans="1:14">
      <c r="A79"/>
      <c r="B79"/>
      <c r="C79"/>
      <c r="D79"/>
      <c r="E79"/>
      <c r="F79"/>
      <c r="G79"/>
      <c r="H79"/>
      <c r="I79"/>
      <c r="J79"/>
      <c r="K79"/>
      <c r="L79"/>
      <c r="M79"/>
      <c r="N79"/>
    </row>
    <row r="80" spans="1:14">
      <c r="A80"/>
      <c r="B80"/>
      <c r="C80"/>
      <c r="D80"/>
      <c r="E80"/>
      <c r="F80"/>
      <c r="G80"/>
      <c r="H80"/>
      <c r="I80"/>
      <c r="J80"/>
      <c r="K80"/>
      <c r="L80"/>
      <c r="M80"/>
      <c r="N80"/>
    </row>
  </sheetData>
  <conditionalFormatting sqref="B6:M55">
    <cfRule type="containsText" dxfId="1" priority="1" operator="containsText" text="FALSE">
      <formula>NOT(ISERROR(SEARCH("FALSE",B6)))</formula>
    </cfRule>
  </conditionalFormatting>
  <conditionalFormatting sqref="B54">
    <cfRule type="containsText" dxfId="0" priority="2" operator="containsText" text="FAIL">
      <formula>NOT(ISERROR(SEARCH("FAIL",B54)))</formula>
    </cfRule>
  </conditionalFormatting>
  <printOptions horizontalCentered="1" gridLinesSet="0"/>
  <pageMargins left="0.5" right="0.5" top="0.5" bottom="0.5" header="0.25" footer="0.25"/>
  <pageSetup firstPageNumber="0" orientation="landscape" horizontalDpi="0" verticalDpi="0" copies="0"/>
  <headerFooter>
    <oddFooter>&amp;C&amp;"Arial"&amp;8Point Alpha Capital | PA-RTX-Model | Checks | Page &amp;P of &amp;N</oddFooter>
  </headerFooter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A3547-8D6D-406C-AA9F-5E32D9F81213}">
  <sheetPr>
    <tabColor rgb="FFA6A6A6"/>
    <pageSetUpPr fitToPage="1"/>
  </sheetPr>
  <dimension ref="A1:G120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43.85546875" customWidth="1"/>
    <col min="2" max="2" width="38.140625" customWidth="1"/>
    <col min="3" max="5" width="16.140625" customWidth="1"/>
    <col min="6" max="6" width="49.5703125" customWidth="1"/>
  </cols>
  <sheetData>
    <row r="1" spans="1:7" ht="15.75">
      <c r="A1" s="70" t="s">
        <v>1157</v>
      </c>
      <c r="B1" s="70"/>
      <c r="C1" s="70"/>
      <c r="D1" s="70"/>
      <c r="E1" s="70"/>
      <c r="F1" s="70"/>
      <c r="G1" s="1"/>
    </row>
    <row r="2" spans="1:7" ht="24" customHeight="1">
      <c r="A2" s="215" t="s">
        <v>1158</v>
      </c>
      <c r="B2" s="215"/>
      <c r="C2" s="215"/>
      <c r="D2" s="215"/>
      <c r="E2" s="215"/>
      <c r="F2" s="215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2" t="s">
        <v>1159</v>
      </c>
      <c r="B4" s="2"/>
      <c r="C4" s="2"/>
      <c r="D4" s="2"/>
      <c r="E4" s="2"/>
      <c r="F4" s="2"/>
      <c r="G4" s="1"/>
    </row>
    <row r="5" spans="1:7" ht="33">
      <c r="A5" s="188" t="s">
        <v>1086</v>
      </c>
      <c r="B5" s="188" t="s">
        <v>1088</v>
      </c>
      <c r="C5" s="188" t="s">
        <v>1160</v>
      </c>
      <c r="D5" s="188" t="s">
        <v>1161</v>
      </c>
      <c r="E5" s="204" t="s">
        <v>1162</v>
      </c>
      <c r="F5" s="204" t="s">
        <v>1081</v>
      </c>
      <c r="G5" s="1"/>
    </row>
    <row r="6" spans="1:7" ht="55.5">
      <c r="A6" s="75" t="s">
        <v>66</v>
      </c>
      <c r="B6" s="84" t="s">
        <v>1163</v>
      </c>
      <c r="C6" s="195" cm="1">
        <f t="array" ref="C6">SUMPRODUCT(ISNUMBER(Projections!A1:M150)*NOT(_xlfn.ISFORMULA(Projections!A1:M150)))</f>
        <v>0</v>
      </c>
      <c r="D6" s="84" t="s">
        <v>1164</v>
      </c>
      <c r="E6" s="211" t="s">
        <v>1165</v>
      </c>
      <c r="F6" s="205" t="b">
        <f>C6=0</f>
        <v>1</v>
      </c>
      <c r="G6" s="1"/>
    </row>
    <row r="7" spans="1:7" ht="44.25">
      <c r="A7" s="75" t="s">
        <v>72</v>
      </c>
      <c r="B7" s="84" t="s">
        <v>1166</v>
      </c>
      <c r="C7" s="195" cm="1">
        <f t="array" ref="C7">SUMPRODUCT(ISNUMBER(DCF!A1:M52)*NOT(_xlfn.ISFORMULA(DCF!A1:M52)))</f>
        <v>0</v>
      </c>
      <c r="D7" s="84" t="s">
        <v>1167</v>
      </c>
      <c r="E7" s="211" t="s">
        <v>1168</v>
      </c>
      <c r="F7" s="205" t="b">
        <f>C7=0</f>
        <v>1</v>
      </c>
      <c r="G7" s="1"/>
    </row>
    <row r="8" spans="1:7">
      <c r="A8" s="75" t="s">
        <v>74</v>
      </c>
      <c r="B8" s="84" t="s">
        <v>1169</v>
      </c>
      <c r="C8" s="195" cm="1">
        <f t="array" ref="C8">SUMPRODUCT(ISNUMBER(Sensitivity!A1:L434)*NOT(_xlfn.ISFORMULA(Sensitivity!A1:L434)))</f>
        <v>0</v>
      </c>
      <c r="D8" s="84" t="s">
        <v>1170</v>
      </c>
      <c r="E8" s="211" t="s">
        <v>1171</v>
      </c>
      <c r="F8" s="205" t="b">
        <f>C8=0</f>
        <v>1</v>
      </c>
      <c r="G8" s="1"/>
    </row>
    <row r="9" spans="1:7">
      <c r="A9" s="75" t="s">
        <v>76</v>
      </c>
      <c r="B9" s="84" t="s">
        <v>1172</v>
      </c>
      <c r="C9" s="195" cm="1">
        <f t="array" ref="C9">SUMPRODUCT(ISNUMBER('Sum-of-Parts'!A1:K71)*NOT(_xlfn.ISFORMULA('Sum-of-Parts'!A1:K71)))</f>
        <v>0</v>
      </c>
      <c r="D9" s="84" t="s">
        <v>1170</v>
      </c>
      <c r="E9" s="211" t="s">
        <v>1171</v>
      </c>
      <c r="F9" s="205" t="b">
        <f>C9=0</f>
        <v>1</v>
      </c>
      <c r="G9" s="1"/>
    </row>
    <row r="10" spans="1:7">
      <c r="A10" s="75"/>
      <c r="B10" s="75"/>
      <c r="C10" s="75"/>
      <c r="D10" s="75"/>
      <c r="E10" s="206"/>
      <c r="F10" s="75"/>
      <c r="G10" s="1"/>
    </row>
    <row r="11" spans="1:7">
      <c r="A11" s="126" t="s">
        <v>1173</v>
      </c>
      <c r="B11" s="126"/>
      <c r="C11" s="126"/>
      <c r="D11" s="126"/>
      <c r="E11" s="207"/>
      <c r="F11" s="126"/>
      <c r="G11" s="1"/>
    </row>
    <row r="12" spans="1:7" ht="33">
      <c r="A12" s="192" t="s">
        <v>1174</v>
      </c>
      <c r="B12" s="192" t="s">
        <v>1009</v>
      </c>
      <c r="C12" s="192" t="s">
        <v>1175</v>
      </c>
      <c r="D12" s="192" t="s">
        <v>1176</v>
      </c>
      <c r="E12" s="208" t="s">
        <v>1081</v>
      </c>
      <c r="F12" s="192" t="s">
        <v>1177</v>
      </c>
      <c r="G12" s="1"/>
    </row>
    <row r="13" spans="1:7">
      <c r="A13" s="193" t="s">
        <v>1178</v>
      </c>
      <c r="B13" s="75" t="s">
        <v>64</v>
      </c>
      <c r="C13" s="196">
        <f>Historical!B141</f>
        <v>0</v>
      </c>
      <c r="D13" s="196">
        <f>Historical!B106-Historical!B183</f>
        <v>0</v>
      </c>
      <c r="E13" s="206" t="b">
        <f>AND(ABS(C13)&lt;0.5,ABS(D13)&lt;0.5)</f>
        <v>1</v>
      </c>
      <c r="F13" s="84" t="s">
        <v>1170</v>
      </c>
      <c r="G13" s="1"/>
    </row>
    <row r="14" spans="1:7">
      <c r="A14" s="193" t="s">
        <v>1179</v>
      </c>
      <c r="B14" s="75" t="s">
        <v>64</v>
      </c>
      <c r="C14" s="196">
        <f>Historical!C141</f>
        <v>0</v>
      </c>
      <c r="D14" s="196">
        <f>Historical!C106-Historical!C183</f>
        <v>0</v>
      </c>
      <c r="E14" s="206" t="b">
        <f>AND(ABS(C14)&lt;0.5,ABS(D14)&lt;0.5)</f>
        <v>1</v>
      </c>
      <c r="F14" s="84" t="s">
        <v>1170</v>
      </c>
      <c r="G14" s="1"/>
    </row>
    <row r="15" spans="1:7">
      <c r="A15" s="193" t="s">
        <v>1180</v>
      </c>
      <c r="B15" s="75" t="s">
        <v>64</v>
      </c>
      <c r="C15" s="196">
        <f>Historical!D141</f>
        <v>0</v>
      </c>
      <c r="D15" s="196">
        <f>Historical!D106-Historical!D183</f>
        <v>0</v>
      </c>
      <c r="E15" s="206" t="b">
        <f>AND(ABS(C15)&lt;0.5,ABS(D15)&lt;0.5)</f>
        <v>1</v>
      </c>
      <c r="F15" s="84" t="s">
        <v>1170</v>
      </c>
      <c r="G15" s="1"/>
    </row>
    <row r="16" spans="1:7">
      <c r="A16" s="193" t="s">
        <v>1181</v>
      </c>
      <c r="B16" s="75" t="s">
        <v>64</v>
      </c>
      <c r="C16" s="196">
        <f>Historical!E141</f>
        <v>0</v>
      </c>
      <c r="D16" s="196">
        <f>Historical!E106-Historical!E183</f>
        <v>0</v>
      </c>
      <c r="E16" s="206" t="b">
        <f>AND(ABS(C16)&lt;0.5,ABS(D16)&lt;0.5)</f>
        <v>1</v>
      </c>
      <c r="F16" s="84" t="s">
        <v>1170</v>
      </c>
      <c r="G16" s="1"/>
    </row>
    <row r="17" spans="1:7">
      <c r="A17" s="193" t="s">
        <v>1182</v>
      </c>
      <c r="B17" s="75" t="s">
        <v>64</v>
      </c>
      <c r="C17" s="196">
        <f>Historical!F141</f>
        <v>0</v>
      </c>
      <c r="D17" s="196">
        <f>Historical!F106-Historical!F183</f>
        <v>0</v>
      </c>
      <c r="E17" s="206" t="b">
        <f>AND(ABS(C17)&lt;0.5,ABS(D17)&lt;0.5)</f>
        <v>1</v>
      </c>
      <c r="F17" s="84" t="s">
        <v>1170</v>
      </c>
      <c r="G17" s="1"/>
    </row>
    <row r="18" spans="1:7">
      <c r="A18" s="193" t="s">
        <v>1183</v>
      </c>
      <c r="B18" s="75" t="s">
        <v>64</v>
      </c>
      <c r="C18" s="196">
        <f>Historical!I141</f>
        <v>0</v>
      </c>
      <c r="D18" s="196">
        <f>Historical!I106-Historical!I183</f>
        <v>0</v>
      </c>
      <c r="E18" s="206" t="b">
        <f>AND(ABS(C18)&lt;0.5,ABS(D18)&lt;0.5)</f>
        <v>1</v>
      </c>
      <c r="F18" s="84" t="s">
        <v>1170</v>
      </c>
      <c r="G18" s="1"/>
    </row>
    <row r="19" spans="1:7">
      <c r="A19" s="193" t="s">
        <v>43</v>
      </c>
      <c r="B19" s="75" t="s">
        <v>66</v>
      </c>
      <c r="C19" s="196">
        <f>Projections!C104</f>
        <v>0</v>
      </c>
      <c r="D19" s="196">
        <f>Projections!C133</f>
        <v>0</v>
      </c>
      <c r="E19" s="206" t="b">
        <f>AND(ABS(C19)&lt;0.5,ABS(D19)&lt;0.5)</f>
        <v>1</v>
      </c>
      <c r="F19" s="84" t="s">
        <v>1170</v>
      </c>
      <c r="G19" s="1"/>
    </row>
    <row r="20" spans="1:7">
      <c r="A20" s="193" t="s">
        <v>45</v>
      </c>
      <c r="B20" s="75" t="s">
        <v>66</v>
      </c>
      <c r="C20" s="196">
        <f>Projections!D104</f>
        <v>0</v>
      </c>
      <c r="D20" s="196">
        <f>Projections!D133</f>
        <v>0</v>
      </c>
      <c r="E20" s="206" t="b">
        <f>AND(ABS(C20)&lt;0.5,ABS(D20)&lt;0.5)</f>
        <v>1</v>
      </c>
      <c r="F20" s="84" t="s">
        <v>1170</v>
      </c>
      <c r="G20" s="1"/>
    </row>
    <row r="21" spans="1:7">
      <c r="A21" s="193" t="s">
        <v>47</v>
      </c>
      <c r="B21" s="75" t="s">
        <v>66</v>
      </c>
      <c r="C21" s="196">
        <f>Projections!E104</f>
        <v>0</v>
      </c>
      <c r="D21" s="196">
        <f>Projections!E133</f>
        <v>0</v>
      </c>
      <c r="E21" s="206" t="b">
        <f>AND(ABS(C21)&lt;0.5,ABS(D21)&lt;0.5)</f>
        <v>1</v>
      </c>
      <c r="F21" s="84" t="s">
        <v>1170</v>
      </c>
      <c r="G21" s="1"/>
    </row>
    <row r="22" spans="1:7">
      <c r="A22" s="193" t="s">
        <v>48</v>
      </c>
      <c r="B22" s="75" t="s">
        <v>66</v>
      </c>
      <c r="C22" s="196">
        <f>Projections!F104</f>
        <v>0</v>
      </c>
      <c r="D22" s="196">
        <f>Projections!F133</f>
        <v>0</v>
      </c>
      <c r="E22" s="206" t="b">
        <f>AND(ABS(C22)&lt;0.5,ABS(D22)&lt;0.5)</f>
        <v>1</v>
      </c>
      <c r="F22" s="84" t="s">
        <v>1170</v>
      </c>
      <c r="G22" s="1"/>
    </row>
    <row r="23" spans="1:7">
      <c r="A23" s="193" t="s">
        <v>49</v>
      </c>
      <c r="B23" s="75" t="s">
        <v>66</v>
      </c>
      <c r="C23" s="196">
        <f>Projections!G104</f>
        <v>0</v>
      </c>
      <c r="D23" s="196">
        <f>Projections!G133</f>
        <v>0</v>
      </c>
      <c r="E23" s="206" t="b">
        <f>AND(ABS(C23)&lt;0.5,ABS(D23)&lt;0.5)</f>
        <v>1</v>
      </c>
      <c r="F23" s="84" t="s">
        <v>1170</v>
      </c>
      <c r="G23" s="1"/>
    </row>
    <row r="24" spans="1:7">
      <c r="A24" s="193" t="s">
        <v>50</v>
      </c>
      <c r="B24" s="75" t="s">
        <v>66</v>
      </c>
      <c r="C24" s="196">
        <f>Projections!H104</f>
        <v>0</v>
      </c>
      <c r="D24" s="196">
        <f>Projections!H133</f>
        <v>0</v>
      </c>
      <c r="E24" s="206" t="b">
        <f>AND(ABS(C24)&lt;0.5,ABS(D24)&lt;0.5)</f>
        <v>1</v>
      </c>
      <c r="F24" s="84" t="s">
        <v>1170</v>
      </c>
      <c r="G24" s="1"/>
    </row>
    <row r="25" spans="1:7">
      <c r="A25" s="193" t="s">
        <v>51</v>
      </c>
      <c r="B25" s="75" t="s">
        <v>66</v>
      </c>
      <c r="C25" s="196">
        <f>Projections!I104</f>
        <v>0</v>
      </c>
      <c r="D25" s="196">
        <f>Projections!I133</f>
        <v>0</v>
      </c>
      <c r="E25" s="206" t="b">
        <f>AND(ABS(C25)&lt;0.5,ABS(D25)&lt;0.5)</f>
        <v>1</v>
      </c>
      <c r="F25" s="84" t="s">
        <v>1170</v>
      </c>
      <c r="G25" s="1"/>
    </row>
    <row r="26" spans="1:7">
      <c r="A26" s="193" t="s">
        <v>52</v>
      </c>
      <c r="B26" s="75" t="s">
        <v>66</v>
      </c>
      <c r="C26" s="196">
        <f>Projections!J104</f>
        <v>0</v>
      </c>
      <c r="D26" s="196">
        <f>Projections!J133</f>
        <v>0</v>
      </c>
      <c r="E26" s="206" t="b">
        <f>AND(ABS(C26)&lt;0.5,ABS(D26)&lt;0.5)</f>
        <v>1</v>
      </c>
      <c r="F26" s="84" t="s">
        <v>1170</v>
      </c>
      <c r="G26" s="1"/>
    </row>
    <row r="27" spans="1:7">
      <c r="A27" s="193" t="s">
        <v>53</v>
      </c>
      <c r="B27" s="75" t="s">
        <v>66</v>
      </c>
      <c r="C27" s="196">
        <f>Projections!K104</f>
        <v>0</v>
      </c>
      <c r="D27" s="196">
        <f>Projections!K133</f>
        <v>0</v>
      </c>
      <c r="E27" s="206" t="b">
        <f>AND(ABS(C27)&lt;0.5,ABS(D27)&lt;0.5)</f>
        <v>1</v>
      </c>
      <c r="F27" s="84" t="s">
        <v>1170</v>
      </c>
      <c r="G27" s="1"/>
    </row>
    <row r="28" spans="1:7">
      <c r="A28" s="193" t="s">
        <v>54</v>
      </c>
      <c r="B28" s="75" t="s">
        <v>66</v>
      </c>
      <c r="C28" s="196">
        <f>Projections!L104</f>
        <v>0</v>
      </c>
      <c r="D28" s="196">
        <f>Projections!L133</f>
        <v>0</v>
      </c>
      <c r="E28" s="206" t="b">
        <f>AND(ABS(C28)&lt;0.5,ABS(D28)&lt;0.5)</f>
        <v>1</v>
      </c>
      <c r="F28" s="84" t="s">
        <v>1170</v>
      </c>
      <c r="G28" s="1"/>
    </row>
    <row r="29" spans="1:7">
      <c r="A29" s="75" t="s">
        <v>1184</v>
      </c>
      <c r="B29" s="75"/>
      <c r="C29" s="75"/>
      <c r="D29" s="75"/>
      <c r="E29" s="206" t="b">
        <f>AND(E13:E28)</f>
        <v>1</v>
      </c>
      <c r="F29" s="75"/>
      <c r="G29" s="1"/>
    </row>
    <row r="30" spans="1:7">
      <c r="A30" s="75"/>
      <c r="B30" s="75"/>
      <c r="C30" s="75"/>
      <c r="D30" s="75"/>
      <c r="E30" s="206"/>
      <c r="F30" s="75"/>
      <c r="G30" s="1"/>
    </row>
    <row r="31" spans="1:7">
      <c r="A31" s="126" t="s">
        <v>1185</v>
      </c>
      <c r="B31" s="126"/>
      <c r="C31" s="126"/>
      <c r="D31" s="126"/>
      <c r="E31" s="207"/>
      <c r="F31" s="126"/>
      <c r="G31" s="1"/>
    </row>
    <row r="32" spans="1:7">
      <c r="A32" s="192" t="s">
        <v>1086</v>
      </c>
      <c r="B32" s="192" t="s">
        <v>1088</v>
      </c>
      <c r="C32" s="192" t="s">
        <v>1186</v>
      </c>
      <c r="D32" s="192"/>
      <c r="E32" s="208" t="s">
        <v>1081</v>
      </c>
      <c r="F32" s="192" t="s">
        <v>1187</v>
      </c>
      <c r="G32" s="1"/>
    </row>
    <row r="33" spans="1:7">
      <c r="A33" s="75" t="s">
        <v>1089</v>
      </c>
      <c r="B33" s="75" t="s">
        <v>1188</v>
      </c>
      <c r="C33" s="195" cm="1">
        <f t="array" ref="C33">SUMPRODUCT(--ISERROR(Cover!A1:K74))</f>
        <v>0</v>
      </c>
      <c r="D33" s="75"/>
      <c r="E33" s="206" t="b">
        <f>C33=0</f>
        <v>1</v>
      </c>
      <c r="F33" s="84" t="s">
        <v>1189</v>
      </c>
      <c r="G33" s="1"/>
    </row>
    <row r="34" spans="1:7">
      <c r="A34" s="75" t="s">
        <v>62</v>
      </c>
      <c r="B34" s="75" t="s">
        <v>1190</v>
      </c>
      <c r="C34" s="195" cm="1">
        <f t="array" ref="C34">SUMPRODUCT(--ISERROR(Assumptions!A1:M93))</f>
        <v>0</v>
      </c>
      <c r="D34" s="75"/>
      <c r="E34" s="206" t="b">
        <f>C34=0</f>
        <v>1</v>
      </c>
      <c r="F34" s="84" t="s">
        <v>1189</v>
      </c>
      <c r="G34" s="1"/>
    </row>
    <row r="35" spans="1:7">
      <c r="A35" s="75" t="s">
        <v>64</v>
      </c>
      <c r="B35" s="75" t="s">
        <v>1191</v>
      </c>
      <c r="C35" s="195" cm="1">
        <f t="array" ref="C35">SUMPRODUCT(--ISERROR(Historical!A1:K219))</f>
        <v>0</v>
      </c>
      <c r="D35" s="75"/>
      <c r="E35" s="206" t="b">
        <f>C35=0</f>
        <v>1</v>
      </c>
      <c r="F35" s="84" t="s">
        <v>1189</v>
      </c>
      <c r="G35" s="1"/>
    </row>
    <row r="36" spans="1:7">
      <c r="A36" s="75" t="s">
        <v>66</v>
      </c>
      <c r="B36" s="75" t="s">
        <v>1163</v>
      </c>
      <c r="C36" s="195" cm="1">
        <f t="array" ref="C36">SUMPRODUCT(--ISERROR(Projections!A1:M150))</f>
        <v>0</v>
      </c>
      <c r="D36" s="75"/>
      <c r="E36" s="206" t="b">
        <f>C36=0</f>
        <v>1</v>
      </c>
      <c r="F36" s="84" t="s">
        <v>1189</v>
      </c>
      <c r="G36" s="1"/>
    </row>
    <row r="37" spans="1:7">
      <c r="A37" s="75" t="s">
        <v>68</v>
      </c>
      <c r="B37" s="75" t="s">
        <v>1192</v>
      </c>
      <c r="C37" s="195" cm="1">
        <f t="array" ref="C37">SUMPRODUCT(--ISERROR('Beta Data'!A1:I66))</f>
        <v>0</v>
      </c>
      <c r="D37" s="75"/>
      <c r="E37" s="206" t="b">
        <f>C37=0</f>
        <v>1</v>
      </c>
      <c r="F37" s="84" t="s">
        <v>1189</v>
      </c>
      <c r="G37" s="1"/>
    </row>
    <row r="38" spans="1:7">
      <c r="A38" s="75" t="s">
        <v>70</v>
      </c>
      <c r="B38" s="75" t="s">
        <v>1193</v>
      </c>
      <c r="C38" s="195" cm="1">
        <f t="array" ref="C38">SUMPRODUCT(--ISERROR(WACC!A1:C47))</f>
        <v>0</v>
      </c>
      <c r="D38" s="75"/>
      <c r="E38" s="206" t="b">
        <f>C38=0</f>
        <v>1</v>
      </c>
      <c r="F38" s="84" t="s">
        <v>1189</v>
      </c>
      <c r="G38" s="1"/>
    </row>
    <row r="39" spans="1:7">
      <c r="A39" s="75" t="s">
        <v>72</v>
      </c>
      <c r="B39" s="75" t="s">
        <v>1166</v>
      </c>
      <c r="C39" s="195" cm="1">
        <f t="array" ref="C39">SUMPRODUCT(--ISERROR(DCF!A1:M52))</f>
        <v>0</v>
      </c>
      <c r="D39" s="75"/>
      <c r="E39" s="206" t="b">
        <f>C39=0</f>
        <v>1</v>
      </c>
      <c r="F39" s="84" t="s">
        <v>1189</v>
      </c>
      <c r="G39" s="1"/>
    </row>
    <row r="40" spans="1:7">
      <c r="A40" s="75" t="s">
        <v>74</v>
      </c>
      <c r="B40" s="75" t="s">
        <v>1169</v>
      </c>
      <c r="C40" s="195" cm="1">
        <f t="array" ref="C40">SUMPRODUCT(--ISERROR(Sensitivity!A1:L434))</f>
        <v>0</v>
      </c>
      <c r="D40" s="75"/>
      <c r="E40" s="206" t="b">
        <f>C40=0</f>
        <v>1</v>
      </c>
      <c r="F40" s="84" t="s">
        <v>1189</v>
      </c>
      <c r="G40" s="1"/>
    </row>
    <row r="41" spans="1:7">
      <c r="A41" s="75" t="s">
        <v>76</v>
      </c>
      <c r="B41" s="75" t="s">
        <v>1172</v>
      </c>
      <c r="C41" s="195" cm="1">
        <f t="array" ref="C41">SUMPRODUCT(--ISERROR('Sum-of-Parts'!A1:K71))</f>
        <v>0</v>
      </c>
      <c r="D41" s="75"/>
      <c r="E41" s="206" t="b">
        <f>C41=0</f>
        <v>1</v>
      </c>
      <c r="F41" s="84" t="s">
        <v>1189</v>
      </c>
      <c r="G41" s="1"/>
    </row>
    <row r="42" spans="1:7">
      <c r="A42" s="75" t="s">
        <v>78</v>
      </c>
      <c r="B42" s="75" t="s">
        <v>1194</v>
      </c>
      <c r="C42" s="195" cm="1">
        <f t="array" ref="C42">SUMPRODUCT(--ISERROR('Peer Data'!A1:S38))</f>
        <v>0</v>
      </c>
      <c r="D42" s="75"/>
      <c r="E42" s="206" t="b">
        <f>C42=0</f>
        <v>1</v>
      </c>
      <c r="F42" s="84" t="s">
        <v>1189</v>
      </c>
      <c r="G42" s="1"/>
    </row>
    <row r="43" spans="1:7">
      <c r="A43" s="75" t="s">
        <v>80</v>
      </c>
      <c r="B43" s="75" t="s">
        <v>1195</v>
      </c>
      <c r="C43" s="195" cm="1">
        <f t="array" ref="C43">SUMPRODUCT(--ISERROR(Checks!A1:M55))</f>
        <v>0</v>
      </c>
      <c r="D43" s="75"/>
      <c r="E43" s="206" t="b">
        <f>C43=0</f>
        <v>1</v>
      </c>
      <c r="F43" s="84" t="s">
        <v>1189</v>
      </c>
      <c r="G43" s="1"/>
    </row>
    <row r="44" spans="1:7">
      <c r="A44" s="75" t="s">
        <v>1196</v>
      </c>
      <c r="B44" s="75"/>
      <c r="C44" s="195">
        <f>SUM(C33:C43)</f>
        <v>0</v>
      </c>
      <c r="D44" s="75"/>
      <c r="E44" s="206" t="b">
        <f>C44=0</f>
        <v>1</v>
      </c>
      <c r="F44" s="75"/>
      <c r="G44" s="1"/>
    </row>
    <row r="45" spans="1:7">
      <c r="A45" s="75"/>
      <c r="B45" s="75"/>
      <c r="C45" s="75"/>
      <c r="D45" s="75"/>
      <c r="E45" s="206"/>
      <c r="F45" s="75"/>
      <c r="G45" s="1"/>
    </row>
    <row r="46" spans="1:7">
      <c r="A46" s="126" t="s">
        <v>1197</v>
      </c>
      <c r="B46" s="126"/>
      <c r="C46" s="126"/>
      <c r="D46" s="126"/>
      <c r="E46" s="207"/>
      <c r="F46" s="126"/>
      <c r="G46" s="1"/>
    </row>
    <row r="47" spans="1:7">
      <c r="A47" s="192" t="s">
        <v>1198</v>
      </c>
      <c r="B47" s="192" t="s">
        <v>1199</v>
      </c>
      <c r="C47" s="192" t="s">
        <v>1200</v>
      </c>
      <c r="D47" s="192" t="s">
        <v>1201</v>
      </c>
      <c r="E47" s="208" t="s">
        <v>1112</v>
      </c>
      <c r="F47" s="192" t="s">
        <v>1113</v>
      </c>
      <c r="G47" s="1"/>
    </row>
    <row r="48" spans="1:7" ht="22.5">
      <c r="A48" s="75" t="s">
        <v>1202</v>
      </c>
      <c r="B48" s="84" t="s">
        <v>1203</v>
      </c>
      <c r="C48" s="197">
        <v>64388</v>
      </c>
      <c r="D48" s="198">
        <f>Historical!B9</f>
        <v>64388</v>
      </c>
      <c r="E48" s="209">
        <f>D48-C48</f>
        <v>0</v>
      </c>
      <c r="F48" s="75" t="b">
        <f>ABS(E48)&lt;0.005</f>
        <v>1</v>
      </c>
      <c r="G48" s="1"/>
    </row>
    <row r="49" spans="1:7" ht="22.5">
      <c r="A49" s="75" t="s">
        <v>1204</v>
      </c>
      <c r="B49" s="84" t="s">
        <v>1205</v>
      </c>
      <c r="C49" s="197">
        <v>5504</v>
      </c>
      <c r="D49" s="198">
        <f>Historical!C19</f>
        <v>5504</v>
      </c>
      <c r="E49" s="209">
        <f>D49-C49</f>
        <v>0</v>
      </c>
      <c r="F49" s="75" t="b">
        <f>ABS(E49)&lt;0.005</f>
        <v>1</v>
      </c>
      <c r="G49" s="1"/>
    </row>
    <row r="50" spans="1:7" ht="22.5">
      <c r="A50" s="75" t="s">
        <v>1206</v>
      </c>
      <c r="B50" s="84" t="s">
        <v>1207</v>
      </c>
      <c r="C50" s="197">
        <v>-5401</v>
      </c>
      <c r="D50" s="198">
        <f>Historical!D10</f>
        <v>-5401</v>
      </c>
      <c r="E50" s="209">
        <f>D50-C50</f>
        <v>0</v>
      </c>
      <c r="F50" s="75" t="b">
        <f>ABS(E50)&lt;0.005</f>
        <v>1</v>
      </c>
      <c r="G50" s="1"/>
    </row>
    <row r="51" spans="1:7" ht="22.5">
      <c r="A51" s="75" t="s">
        <v>1208</v>
      </c>
      <c r="B51" s="84" t="s">
        <v>1209</v>
      </c>
      <c r="C51" s="197">
        <v>4774</v>
      </c>
      <c r="D51" s="198">
        <f>Historical!E31</f>
        <v>4774</v>
      </c>
      <c r="E51" s="209">
        <f>D51-C51</f>
        <v>0</v>
      </c>
      <c r="F51" s="75" t="b">
        <f>ABS(E51)&lt;0.005</f>
        <v>1</v>
      </c>
      <c r="G51" s="1"/>
    </row>
    <row r="52" spans="1:7" ht="22.5">
      <c r="A52" s="75" t="s">
        <v>1210</v>
      </c>
      <c r="B52" s="84" t="s">
        <v>1211</v>
      </c>
      <c r="C52" s="197">
        <v>4.96</v>
      </c>
      <c r="D52" s="198">
        <f>Historical!F32</f>
        <v>4.96</v>
      </c>
      <c r="E52" s="209">
        <f>D52-C52</f>
        <v>0</v>
      </c>
      <c r="F52" s="75" t="b">
        <f>ABS(E52)&lt;0.005</f>
        <v>1</v>
      </c>
      <c r="G52" s="1"/>
    </row>
    <row r="53" spans="1:7" ht="22.5">
      <c r="A53" s="75" t="s">
        <v>1212</v>
      </c>
      <c r="B53" s="84" t="s">
        <v>1125</v>
      </c>
      <c r="C53" s="197">
        <v>161869</v>
      </c>
      <c r="D53" s="198">
        <f>Historical!D118</f>
        <v>161869</v>
      </c>
      <c r="E53" s="209">
        <f>D53-C53</f>
        <v>0</v>
      </c>
      <c r="F53" s="75" t="b">
        <f>ABS(E53)&lt;0.005</f>
        <v>1</v>
      </c>
      <c r="G53" s="1"/>
    </row>
    <row r="54" spans="1:7" ht="22.5">
      <c r="A54" s="75" t="s">
        <v>1213</v>
      </c>
      <c r="B54" s="84" t="s">
        <v>1214</v>
      </c>
      <c r="C54" s="197">
        <v>7435</v>
      </c>
      <c r="D54" s="198">
        <f>Historical!F106</f>
        <v>7435</v>
      </c>
      <c r="E54" s="209">
        <f>D54-C54</f>
        <v>0</v>
      </c>
      <c r="F54" s="75" t="b">
        <f>ABS(E54)&lt;0.005</f>
        <v>1</v>
      </c>
      <c r="G54" s="1"/>
    </row>
    <row r="55" spans="1:7" ht="22.5">
      <c r="A55" s="75" t="s">
        <v>1215</v>
      </c>
      <c r="B55" s="84" t="s">
        <v>1216</v>
      </c>
      <c r="C55" s="197">
        <v>10567</v>
      </c>
      <c r="D55" s="198">
        <f>Historical!F160</f>
        <v>10567</v>
      </c>
      <c r="E55" s="209">
        <f>D55-C55</f>
        <v>0</v>
      </c>
      <c r="F55" s="75" t="b">
        <f>ABS(E55)&lt;0.005</f>
        <v>1</v>
      </c>
      <c r="G55" s="1"/>
    </row>
    <row r="56" spans="1:7" ht="22.5">
      <c r="A56" s="75" t="s">
        <v>1217</v>
      </c>
      <c r="B56" s="84" t="s">
        <v>1218</v>
      </c>
      <c r="C56" s="197">
        <v>-2625</v>
      </c>
      <c r="D56" s="198">
        <f>Historical!E161</f>
        <v>-2625</v>
      </c>
      <c r="E56" s="209">
        <f>D56-C56</f>
        <v>0</v>
      </c>
      <c r="F56" s="75" t="b">
        <f>ABS(E56)&lt;0.005</f>
        <v>1</v>
      </c>
      <c r="G56" s="1"/>
    </row>
    <row r="57" spans="1:7" ht="33">
      <c r="A57" s="75" t="s">
        <v>1219</v>
      </c>
      <c r="B57" s="84" t="s">
        <v>1220</v>
      </c>
      <c r="C57" s="197">
        <v>24965</v>
      </c>
      <c r="D57" s="198">
        <f>Historical!I9</f>
        <v>24965</v>
      </c>
      <c r="E57" s="209">
        <f>D57-C57</f>
        <v>0</v>
      </c>
      <c r="F57" s="75" t="b">
        <f>ABS(E57)&lt;0.005</f>
        <v>1</v>
      </c>
      <c r="G57" s="1"/>
    </row>
    <row r="58" spans="1:7">
      <c r="A58" s="75" t="s">
        <v>1221</v>
      </c>
      <c r="B58" s="75"/>
      <c r="C58" s="75"/>
      <c r="D58" s="75"/>
      <c r="E58" s="206"/>
      <c r="F58" s="206" t="b">
        <f>AND(F48:F57)</f>
        <v>1</v>
      </c>
      <c r="G58" s="1"/>
    </row>
    <row r="59" spans="1:7">
      <c r="A59" s="75"/>
      <c r="B59" s="75"/>
      <c r="C59" s="75"/>
      <c r="D59" s="75"/>
      <c r="E59" s="206"/>
      <c r="F59" s="75"/>
      <c r="G59" s="1"/>
    </row>
    <row r="60" spans="1:7">
      <c r="A60" s="126" t="s">
        <v>1222</v>
      </c>
      <c r="B60" s="126"/>
      <c r="C60" s="126"/>
      <c r="D60" s="126"/>
      <c r="E60" s="207"/>
      <c r="F60" s="126"/>
      <c r="G60" s="1"/>
    </row>
    <row r="61" spans="1:7" ht="22.5">
      <c r="A61" s="192" t="s">
        <v>1223</v>
      </c>
      <c r="B61" s="192" t="s">
        <v>1224</v>
      </c>
      <c r="C61" s="192" t="s">
        <v>1225</v>
      </c>
      <c r="D61" s="192" t="s">
        <v>1226</v>
      </c>
      <c r="E61" s="208" t="s">
        <v>1081</v>
      </c>
      <c r="F61" s="192"/>
      <c r="G61" s="1"/>
    </row>
    <row r="62" spans="1:7">
      <c r="A62" s="75" t="s">
        <v>1227</v>
      </c>
      <c r="B62" s="75" t="s">
        <v>1228</v>
      </c>
      <c r="C62" s="195" cm="1">
        <f t="array" ref="C62">SUMPRODUCT(--(((Assumptions!B5:B93&lt;&gt;"")+(Assumptions!C5:C93&lt;&gt;""))&gt;0))</f>
        <v>72</v>
      </c>
      <c r="D62" s="195" cm="1">
        <f t="array" ref="D62">SUMPRODUCT((((Assumptions!B5:B93&lt;&gt;"")+(Assumptions!C5:C93&lt;&gt;""))&gt;0)*(Assumptions!M5:M93=""))</f>
        <v>0</v>
      </c>
      <c r="E62" s="206" t="b">
        <f>D62=0</f>
        <v>1</v>
      </c>
      <c r="F62" s="75"/>
      <c r="G62" s="1"/>
    </row>
    <row r="63" spans="1:7">
      <c r="A63" s="75"/>
      <c r="B63" s="75"/>
      <c r="C63" s="75"/>
      <c r="D63" s="75"/>
      <c r="E63" s="206"/>
      <c r="F63" s="75"/>
      <c r="G63" s="1"/>
    </row>
    <row r="64" spans="1:7">
      <c r="A64" s="126" t="s">
        <v>1229</v>
      </c>
      <c r="B64" s="126"/>
      <c r="C64" s="126"/>
      <c r="D64" s="126"/>
      <c r="E64" s="207"/>
      <c r="F64" s="126"/>
      <c r="G64" s="1"/>
    </row>
    <row r="65" spans="1:7">
      <c r="A65" s="192" t="s">
        <v>1223</v>
      </c>
      <c r="B65" s="192" t="s">
        <v>1230</v>
      </c>
      <c r="C65" s="192" t="s">
        <v>1231</v>
      </c>
      <c r="D65" s="192" t="s">
        <v>1232</v>
      </c>
      <c r="E65" s="208" t="s">
        <v>1081</v>
      </c>
      <c r="F65" s="192"/>
      <c r="G65" s="1"/>
    </row>
    <row r="66" spans="1:7">
      <c r="A66" s="75" t="s">
        <v>1102</v>
      </c>
      <c r="B66" s="75" t="s">
        <v>1233</v>
      </c>
      <c r="C66" s="199">
        <f>DCF!C22</f>
        <v>0.03</v>
      </c>
      <c r="D66" s="199">
        <f>DCF!C21</f>
        <v>8.038296556777251E-2</v>
      </c>
      <c r="E66" s="206" t="b">
        <f>C66&lt;D66</f>
        <v>1</v>
      </c>
      <c r="F66" s="75"/>
      <c r="G66" s="1"/>
    </row>
    <row r="67" spans="1:7">
      <c r="A67" s="75" t="s">
        <v>1234</v>
      </c>
      <c r="B67" s="75" t="s">
        <v>1235</v>
      </c>
      <c r="C67" s="199">
        <f>DCF!C38</f>
        <v>0.63494015571789819</v>
      </c>
      <c r="D67" s="199">
        <f>C77</f>
        <v>0.8</v>
      </c>
      <c r="E67" s="206" t="b">
        <f>C67&lt;D67</f>
        <v>1</v>
      </c>
      <c r="F67" s="75"/>
      <c r="G67" s="1"/>
    </row>
    <row r="68" spans="1:7">
      <c r="A68" s="75" t="s">
        <v>1236</v>
      </c>
      <c r="B68" s="75" t="s">
        <v>1237</v>
      </c>
      <c r="C68" s="200">
        <f>WACC!B26</f>
        <v>0.96800780771345418</v>
      </c>
      <c r="D68" s="200">
        <f>WACC!B25</f>
        <v>0.96800780771345418</v>
      </c>
      <c r="E68" s="206" t="b">
        <f>ABS(C68-D68)&lt;0.00001</f>
        <v>1</v>
      </c>
      <c r="F68" s="75"/>
      <c r="G68" s="1"/>
    </row>
    <row r="69" spans="1:7">
      <c r="A69" s="75" t="s">
        <v>1238</v>
      </c>
      <c r="B69" s="75" t="s">
        <v>1239</v>
      </c>
      <c r="C69" s="200">
        <f>'Beta Data'!H10</f>
        <v>4.20293964919893E-2</v>
      </c>
      <c r="D69" s="200">
        <f>'Beta Data'!H18</f>
        <v>0.1</v>
      </c>
      <c r="E69" s="206" t="b">
        <f>C69&lt;D69</f>
        <v>1</v>
      </c>
      <c r="F69" s="75"/>
      <c r="G69" s="1"/>
    </row>
    <row r="70" spans="1:7">
      <c r="A70" s="75" t="s">
        <v>1240</v>
      </c>
      <c r="B70" s="75" t="s">
        <v>1241</v>
      </c>
      <c r="C70" s="199">
        <f>WACC!B27</f>
        <v>8.7116288885397797E-2</v>
      </c>
      <c r="D70" s="199">
        <f>WACC!B17+WACC!B26*WACC!B18</f>
        <v>8.7116288885397797E-2</v>
      </c>
      <c r="E70" s="206" t="b">
        <f>ABS(C70-D70)&lt;0.00001</f>
        <v>1</v>
      </c>
      <c r="F70" s="75"/>
      <c r="G70" s="1"/>
    </row>
    <row r="71" spans="1:7">
      <c r="A71" s="75"/>
      <c r="B71" s="75"/>
      <c r="C71" s="75"/>
      <c r="D71" s="75"/>
      <c r="E71" s="206"/>
      <c r="F71" s="75"/>
      <c r="G71" s="1"/>
    </row>
    <row r="72" spans="1:7">
      <c r="A72" s="126" t="s">
        <v>1242</v>
      </c>
      <c r="B72" s="126"/>
      <c r="C72" s="126"/>
      <c r="D72" s="126"/>
      <c r="E72" s="207"/>
      <c r="F72" s="126"/>
      <c r="G72" s="1"/>
    </row>
    <row r="73" spans="1:7" ht="22.5">
      <c r="A73" s="192" t="s">
        <v>1223</v>
      </c>
      <c r="B73" s="192" t="s">
        <v>1230</v>
      </c>
      <c r="C73" s="192" t="s">
        <v>1089</v>
      </c>
      <c r="D73" s="192" t="s">
        <v>1243</v>
      </c>
      <c r="E73" s="208" t="s">
        <v>1081</v>
      </c>
      <c r="F73" s="192"/>
      <c r="G73" s="1"/>
    </row>
    <row r="74" spans="1:7">
      <c r="A74" s="75" t="s">
        <v>1244</v>
      </c>
      <c r="B74" s="75" t="s">
        <v>1245</v>
      </c>
      <c r="C74" s="194">
        <f>Cover!B15</f>
        <v>151.02294504401797</v>
      </c>
      <c r="D74" s="194">
        <f>DCF!C47</f>
        <v>151.02294504401797</v>
      </c>
      <c r="E74" s="206" t="b">
        <f>ABS(C74-D74)&lt;0.005</f>
        <v>1</v>
      </c>
      <c r="F74" s="75"/>
      <c r="G74" s="1"/>
    </row>
    <row r="75" spans="1:7">
      <c r="A75" s="75" t="s">
        <v>1246</v>
      </c>
      <c r="B75" s="75" t="s">
        <v>1247</v>
      </c>
      <c r="C75" s="194">
        <f>Cover!B16</f>
        <v>155.45057050495805</v>
      </c>
      <c r="D75" s="194">
        <f>'Sum-of-Parts'!G63</f>
        <v>155.45057050495805</v>
      </c>
      <c r="E75" s="206" t="b">
        <f>ABS(C75-D75)&lt;0.005</f>
        <v>1</v>
      </c>
      <c r="F75" s="75"/>
      <c r="G75" s="1"/>
    </row>
    <row r="76" spans="1:7">
      <c r="A76" s="75" t="s">
        <v>1248</v>
      </c>
      <c r="B76" s="75" t="s">
        <v>1249</v>
      </c>
      <c r="C76" s="194">
        <f>Cover!B18</f>
        <v>155</v>
      </c>
      <c r="D76" s="194">
        <f>MROUND(C78*DCF!C47+C79*'Sum-of-Parts'!G63,5)</f>
        <v>155</v>
      </c>
      <c r="E76" s="206" t="b">
        <f>AND(ABS(C76-D76)&lt;0.005,Cover!C15=C78,Cover!C16=C79)</f>
        <v>1</v>
      </c>
      <c r="F76" s="75"/>
      <c r="G76" s="1"/>
    </row>
    <row r="77" spans="1:7">
      <c r="A77" s="75" t="s">
        <v>1250</v>
      </c>
      <c r="B77" s="75" t="s">
        <v>1251</v>
      </c>
      <c r="C77" s="201">
        <v>0.8</v>
      </c>
      <c r="D77" s="75"/>
      <c r="E77" s="206"/>
      <c r="F77" s="75"/>
      <c r="G77" s="1"/>
    </row>
    <row r="78" spans="1:7">
      <c r="A78" s="75"/>
      <c r="B78" s="75" t="s">
        <v>1252</v>
      </c>
      <c r="C78" s="201">
        <v>0.5</v>
      </c>
      <c r="D78" s="75"/>
      <c r="E78" s="206"/>
      <c r="F78" s="75"/>
      <c r="G78" s="1"/>
    </row>
    <row r="79" spans="1:7">
      <c r="A79" s="75"/>
      <c r="B79" s="75" t="s">
        <v>1253</v>
      </c>
      <c r="C79" s="201">
        <v>0.5</v>
      </c>
      <c r="D79" s="75"/>
      <c r="E79" s="206"/>
      <c r="F79" s="75"/>
      <c r="G79" s="1"/>
    </row>
    <row r="80" spans="1:7" ht="22.5">
      <c r="A80" s="84" t="s">
        <v>1254</v>
      </c>
      <c r="B80" s="84" t="s">
        <v>1255</v>
      </c>
      <c r="C80" s="84" t="str">
        <f>Cover!B6</f>
        <v>HOLD, target under review</v>
      </c>
      <c r="D80" s="84" t="str">
        <f>IF(Cover!B7&gt;Cover!E5,Assumptions!C95,Assumptions!C94)</f>
        <v>HOLD, target under review</v>
      </c>
      <c r="E80" s="205" t="b">
        <f>C80=D80</f>
        <v>1</v>
      </c>
      <c r="F80" s="84" t="s">
        <v>1256</v>
      </c>
      <c r="G80" s="1"/>
    </row>
    <row r="81" spans="1:7">
      <c r="A81" s="126" t="s">
        <v>1257</v>
      </c>
      <c r="B81" s="126"/>
      <c r="C81" s="126"/>
      <c r="D81" s="126"/>
      <c r="E81" s="207"/>
      <c r="F81" s="126"/>
      <c r="G81" s="1"/>
    </row>
    <row r="82" spans="1:7">
      <c r="A82" s="192" t="s">
        <v>1223</v>
      </c>
      <c r="B82" s="192" t="s">
        <v>1258</v>
      </c>
      <c r="C82" s="192" t="s">
        <v>1259</v>
      </c>
      <c r="D82" s="192" t="s">
        <v>1260</v>
      </c>
      <c r="E82" s="208" t="s">
        <v>1081</v>
      </c>
      <c r="F82" s="192" t="s">
        <v>1261</v>
      </c>
      <c r="G82" s="1"/>
    </row>
    <row r="83" spans="1:7" ht="33">
      <c r="A83" s="84" t="s">
        <v>1262</v>
      </c>
      <c r="B83" s="75" t="s">
        <v>1263</v>
      </c>
      <c r="C83" s="195">
        <v>2320</v>
      </c>
      <c r="D83" s="195">
        <v>0</v>
      </c>
      <c r="E83" s="206" t="b">
        <f>D83=0</f>
        <v>1</v>
      </c>
      <c r="F83" s="84" t="s">
        <v>1170</v>
      </c>
      <c r="G83" s="1"/>
    </row>
    <row r="84" spans="1:7">
      <c r="A84" s="84" t="s">
        <v>1264</v>
      </c>
      <c r="B84" s="75" t="s">
        <v>1265</v>
      </c>
      <c r="C84" s="195">
        <v>802</v>
      </c>
      <c r="D84" s="195">
        <v>0</v>
      </c>
      <c r="E84" s="206" t="b">
        <f>D84=0</f>
        <v>1</v>
      </c>
      <c r="F84" s="84" t="s">
        <v>1170</v>
      </c>
      <c r="G84" s="1"/>
    </row>
    <row r="85" spans="1:7">
      <c r="A85" s="84" t="s">
        <v>1266</v>
      </c>
      <c r="B85" s="75" t="s">
        <v>1267</v>
      </c>
      <c r="C85" s="195">
        <v>6</v>
      </c>
      <c r="D85" s="195">
        <v>0</v>
      </c>
      <c r="E85" s="206" t="b">
        <f>D85=0</f>
        <v>1</v>
      </c>
      <c r="F85" s="84" t="s">
        <v>1170</v>
      </c>
      <c r="G85" s="1"/>
    </row>
    <row r="86" spans="1:7" ht="55.5">
      <c r="A86" s="84" t="s">
        <v>1268</v>
      </c>
      <c r="B86" s="75" t="s">
        <v>1269</v>
      </c>
      <c r="C86" s="195">
        <v>3122</v>
      </c>
      <c r="D86" s="195">
        <v>0</v>
      </c>
      <c r="E86" s="206" t="b">
        <f>D86=0</f>
        <v>1</v>
      </c>
      <c r="F86" s="84" t="s">
        <v>1270</v>
      </c>
      <c r="G86" s="1"/>
    </row>
    <row r="87" spans="1:7">
      <c r="A87" s="84" t="s">
        <v>1271</v>
      </c>
      <c r="B87" s="75" t="s">
        <v>1263</v>
      </c>
      <c r="C87" s="195">
        <v>2320</v>
      </c>
      <c r="D87" s="195">
        <v>0</v>
      </c>
      <c r="E87" s="206" t="b">
        <f>D87=0</f>
        <v>1</v>
      </c>
      <c r="F87" s="84" t="s">
        <v>1272</v>
      </c>
      <c r="G87" s="1"/>
    </row>
    <row r="88" spans="1:7">
      <c r="A88" s="84" t="s">
        <v>1273</v>
      </c>
      <c r="B88" s="75" t="s">
        <v>1274</v>
      </c>
      <c r="C88" s="195" t="s">
        <v>1275</v>
      </c>
      <c r="D88" s="195">
        <v>0</v>
      </c>
      <c r="E88" s="206" t="b">
        <f>D88=0</f>
        <v>1</v>
      </c>
      <c r="F88" s="84" t="s">
        <v>1276</v>
      </c>
      <c r="G88" s="1"/>
    </row>
    <row r="89" spans="1:7" ht="33">
      <c r="A89" s="84" t="s">
        <v>1277</v>
      </c>
      <c r="B89" s="84" t="s">
        <v>1278</v>
      </c>
      <c r="C89" s="84" t="s">
        <v>1279</v>
      </c>
      <c r="D89" s="84" t="s">
        <v>1280</v>
      </c>
      <c r="E89" s="206" t="s">
        <v>1280</v>
      </c>
      <c r="F89" s="84" t="s">
        <v>1281</v>
      </c>
      <c r="G89" s="1"/>
    </row>
    <row r="90" spans="1:7">
      <c r="A90" s="75"/>
      <c r="B90" s="75"/>
      <c r="C90" s="75"/>
      <c r="D90" s="75"/>
      <c r="E90" s="206"/>
      <c r="F90" s="75"/>
      <c r="G90" s="1"/>
    </row>
    <row r="91" spans="1:7">
      <c r="A91" s="126" t="s">
        <v>1282</v>
      </c>
      <c r="B91" s="126"/>
      <c r="C91" s="126"/>
      <c r="D91" s="126"/>
      <c r="E91" s="207"/>
      <c r="F91" s="126"/>
      <c r="G91" s="1"/>
    </row>
    <row r="92" spans="1:7" ht="22.5">
      <c r="A92" s="192" t="s">
        <v>1283</v>
      </c>
      <c r="B92" s="192" t="s">
        <v>1081</v>
      </c>
      <c r="C92" s="192" t="s">
        <v>1284</v>
      </c>
      <c r="D92" s="192"/>
      <c r="E92" s="208"/>
      <c r="F92" s="192"/>
      <c r="G92" s="1"/>
    </row>
    <row r="93" spans="1:7">
      <c r="A93" s="75" t="s">
        <v>1285</v>
      </c>
      <c r="B93" s="206" t="b">
        <f>AND(F6:F9)</f>
        <v>1</v>
      </c>
      <c r="C93" s="84" t="str">
        <f>IF(B93,"","QIS Audit!A6:F9")</f>
        <v/>
      </c>
      <c r="D93" s="75"/>
      <c r="E93" s="206"/>
      <c r="F93" s="75"/>
      <c r="G93" s="1"/>
    </row>
    <row r="94" spans="1:7">
      <c r="A94" s="75" t="s">
        <v>1286</v>
      </c>
      <c r="B94" s="206" t="b">
        <f>AND(E29)</f>
        <v>1</v>
      </c>
      <c r="C94" s="84" t="str">
        <f>IF(B94,"","QIS Audit!A13:F28")</f>
        <v/>
      </c>
      <c r="D94" s="75"/>
      <c r="E94" s="206"/>
      <c r="F94" s="75"/>
      <c r="G94" s="1"/>
    </row>
    <row r="95" spans="1:7">
      <c r="A95" s="75" t="s">
        <v>1287</v>
      </c>
      <c r="B95" s="206" t="b">
        <f>AND(E44)</f>
        <v>1</v>
      </c>
      <c r="C95" s="84" t="str">
        <f>IF(B95,"","QIS Audit!A33:F43")</f>
        <v/>
      </c>
      <c r="D95" s="75"/>
      <c r="E95" s="206"/>
      <c r="F95" s="75"/>
      <c r="G95" s="1"/>
    </row>
    <row r="96" spans="1:7">
      <c r="A96" s="75" t="s">
        <v>1288</v>
      </c>
      <c r="B96" s="206" t="b">
        <f>AND(F58)</f>
        <v>1</v>
      </c>
      <c r="C96" s="84" t="str">
        <f>IF(B96,"","QIS Audit!A48:F57")</f>
        <v/>
      </c>
      <c r="D96" s="75"/>
      <c r="E96" s="206"/>
      <c r="F96" s="75"/>
      <c r="G96" s="1"/>
    </row>
    <row r="97" spans="1:7">
      <c r="A97" s="75" t="s">
        <v>1289</v>
      </c>
      <c r="B97" s="206" t="b">
        <f>AND(E62)</f>
        <v>1</v>
      </c>
      <c r="C97" s="84" t="str">
        <f>IF(B97,"","QIS Audit!A62:F62")</f>
        <v/>
      </c>
      <c r="D97" s="75"/>
      <c r="E97" s="206"/>
      <c r="F97" s="75"/>
      <c r="G97" s="1"/>
    </row>
    <row r="98" spans="1:7">
      <c r="A98" s="75" t="s">
        <v>1290</v>
      </c>
      <c r="B98" s="206" t="b">
        <f>AND(E66:E70)</f>
        <v>1</v>
      </c>
      <c r="C98" s="84" t="str">
        <f>IF(B98,"","QIS Audit!A66:F70")</f>
        <v/>
      </c>
      <c r="D98" s="75"/>
      <c r="E98" s="206"/>
      <c r="F98" s="75"/>
      <c r="G98" s="1"/>
    </row>
    <row r="99" spans="1:7">
      <c r="A99" s="75" t="s">
        <v>1291</v>
      </c>
      <c r="B99" s="206" t="b">
        <f>AND(E74:E76,E80)</f>
        <v>1</v>
      </c>
      <c r="C99" s="84" t="str">
        <f>IF(B99,"","QIS Audit!A74:F80")</f>
        <v/>
      </c>
      <c r="D99" s="75"/>
      <c r="E99" s="206"/>
      <c r="F99" s="75"/>
      <c r="G99" s="1"/>
    </row>
    <row r="100" spans="1:7">
      <c r="A100" s="75" t="s">
        <v>1292</v>
      </c>
      <c r="B100" s="206" t="b">
        <f>AND(E83:E88)</f>
        <v>1</v>
      </c>
      <c r="C100" s="84" t="str">
        <f>IF(B100,"","QIS Audit!A83:F88")</f>
        <v/>
      </c>
      <c r="D100" s="75"/>
      <c r="E100" s="206"/>
      <c r="F100" s="75"/>
      <c r="G100" s="1"/>
    </row>
    <row r="101" spans="1:7">
      <c r="A101" s="202" t="s">
        <v>1293</v>
      </c>
      <c r="B101" s="210" t="str">
        <f>IF(AND(B93:B100),"Cleared","Returned")</f>
        <v>Cleared</v>
      </c>
      <c r="C101" s="203" t="str">
        <f>IF(B101="Cleared","All checks pass","Fix: "&amp;_xlfn.TEXTJOIN("; ",TRUE,C93:C100))</f>
        <v>All checks pass</v>
      </c>
      <c r="D101" s="75"/>
      <c r="E101" s="206"/>
      <c r="F101" s="75"/>
      <c r="G101" s="1"/>
    </row>
    <row r="102" spans="1:7">
      <c r="A102" s="1"/>
      <c r="B102" s="1"/>
      <c r="C102" s="1"/>
      <c r="D102" s="1"/>
      <c r="E102" s="1"/>
      <c r="F102" s="1"/>
      <c r="G102" s="1"/>
    </row>
    <row r="103" spans="1:7" ht="33.75" customHeight="1">
      <c r="A103" s="215" t="s">
        <v>1294</v>
      </c>
      <c r="B103" s="215"/>
      <c r="C103" s="215"/>
      <c r="D103" s="215"/>
      <c r="E103" s="215"/>
      <c r="F103" s="215"/>
      <c r="G103" s="1"/>
    </row>
    <row r="104" spans="1:7">
      <c r="A104" s="1"/>
      <c r="B104" s="1"/>
      <c r="C104" s="1"/>
      <c r="D104" s="1"/>
      <c r="E104" s="1"/>
      <c r="F104" s="1"/>
      <c r="G104" s="1"/>
    </row>
    <row r="105" spans="1:7">
      <c r="A105" s="1"/>
      <c r="B105" s="1"/>
      <c r="C105" s="1"/>
      <c r="D105" s="1"/>
      <c r="E105" s="1"/>
      <c r="F105" s="1"/>
      <c r="G105" s="1"/>
    </row>
    <row r="106" spans="1:7">
      <c r="A106" s="1"/>
      <c r="B106" s="1"/>
      <c r="C106" s="1"/>
      <c r="D106" s="1"/>
      <c r="E106" s="1"/>
      <c r="F106" s="1"/>
      <c r="G106" s="1"/>
    </row>
    <row r="107" spans="1:7">
      <c r="A107" s="1"/>
      <c r="B107" s="1"/>
      <c r="C107" s="1"/>
      <c r="D107" s="1"/>
      <c r="E107" s="1"/>
      <c r="F107" s="1"/>
      <c r="G107" s="1"/>
    </row>
    <row r="108" spans="1:7">
      <c r="A108" s="1"/>
      <c r="B108" s="1"/>
      <c r="C108" s="1"/>
      <c r="D108" s="1"/>
      <c r="E108" s="1"/>
      <c r="F108" s="1"/>
      <c r="G108" s="1"/>
    </row>
    <row r="109" spans="1:7">
      <c r="A109" s="1"/>
      <c r="B109" s="1"/>
      <c r="C109" s="1"/>
      <c r="D109" s="1"/>
      <c r="E109" s="1"/>
      <c r="F109" s="1"/>
      <c r="G109" s="1"/>
    </row>
    <row r="110" spans="1:7">
      <c r="A110" s="1"/>
      <c r="B110" s="1"/>
      <c r="C110" s="1"/>
      <c r="D110" s="1"/>
      <c r="E110" s="1"/>
      <c r="F110" s="1"/>
      <c r="G110" s="1"/>
    </row>
    <row r="111" spans="1:7">
      <c r="A111" s="1"/>
      <c r="B111" s="1"/>
      <c r="C111" s="1"/>
      <c r="D111" s="1"/>
      <c r="E111" s="1"/>
      <c r="F111" s="1"/>
      <c r="G111" s="1"/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1"/>
      <c r="B113" s="1"/>
      <c r="C113" s="1"/>
      <c r="D113" s="1"/>
      <c r="E113" s="1"/>
      <c r="F113" s="1"/>
      <c r="G113" s="1"/>
    </row>
    <row r="114" spans="1:7">
      <c r="A114" s="1"/>
      <c r="B114" s="1"/>
      <c r="C114" s="1"/>
      <c r="D114" s="1"/>
      <c r="E114" s="1"/>
      <c r="F114" s="1"/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/>
      <c r="B116" s="1"/>
      <c r="C116" s="1"/>
      <c r="D116" s="1"/>
      <c r="E116" s="1"/>
      <c r="F116" s="1"/>
      <c r="G116" s="1"/>
    </row>
    <row r="117" spans="1:7">
      <c r="A117" s="1"/>
      <c r="B117" s="1"/>
      <c r="C117" s="1"/>
      <c r="D117" s="1"/>
      <c r="E117" s="1"/>
      <c r="F117" s="1"/>
      <c r="G117" s="1"/>
    </row>
    <row r="118" spans="1:7">
      <c r="A118" s="1"/>
      <c r="B118" s="1"/>
      <c r="C118" s="1"/>
      <c r="D118" s="1"/>
      <c r="E118" s="1"/>
      <c r="F118" s="1"/>
      <c r="G118" s="1"/>
    </row>
    <row r="119" spans="1:7">
      <c r="A119" s="1"/>
      <c r="B119" s="1"/>
      <c r="C119" s="1"/>
      <c r="D119" s="1"/>
      <c r="E119" s="1"/>
      <c r="F119" s="1"/>
      <c r="G119" s="1"/>
    </row>
    <row r="120" spans="1:7">
      <c r="A120" s="1"/>
      <c r="B120" s="1"/>
      <c r="C120" s="1"/>
      <c r="D120" s="1"/>
      <c r="E120" s="1"/>
      <c r="F120" s="1"/>
      <c r="G120" s="1"/>
    </row>
  </sheetData>
  <mergeCells count="2">
    <mergeCell ref="A2:F2"/>
    <mergeCell ref="A103:F103"/>
  </mergeCells>
  <printOptions horizontalCentered="1" gridLinesSet="0"/>
  <pageMargins left="0.5" right="0.5" top="0.5" bottom="0.5" header="0.3" footer="0.3"/>
  <pageSetup paperSize="0" firstPageNumber="0" fitToHeight="2" orientation="landscape" horizontalDpi="0" verticalDpi="0" copies="0"/>
  <headerFooter>
    <oddFooter>&amp;C&amp;"Arial"&amp;8Point Alpha Capital | PA-RTX-Model | QIS Audit | Page &amp;P of &amp;N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Point Alpha Capital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PA-RTX-Model</dc:title>
  <dc:subject/>
  <dc:creator>Point Alpha Capital</dc:creator>
  <cp:keywords/>
  <dc:description/>
  <cp:lastModifiedBy>Point Alpha Capital</cp:lastModifiedBy>
  <cp:revision/>
  <dcterms:created xsi:type="dcterms:W3CDTF">2026-11-01T20:24:48Z</dcterms:created>
  <dcterms:modified xsi:type="dcterms:W3CDTF">2026-11-02T20:36:37Z</dcterms:modified>
  <cp:category/>
  <cp:contentStatus/>
</cp:coreProperties>
</file>